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Л.Шершень\Documents\Гірська ОТГ\ВИКОНКОМ\2024\10 виконком від 16.04.2024\рішення виконкому від 16.04.2024\"/>
    </mc:Choice>
  </mc:AlternateContent>
  <xr:revisionPtr revIDLastSave="0" documentId="13_ncr:1_{659547D6-49A0-4FF5-A65B-BB4A4DC0DCB6}" xr6:coauthVersionLast="47" xr6:coauthVersionMax="47" xr10:uidLastSave="{00000000-0000-0000-0000-000000000000}"/>
  <bookViews>
    <workbookView xWindow="-120" yWindow="-120" windowWidth="29040" windowHeight="15840" tabRatio="839" firstSheet="3" activeTab="3" xr2:uid="{00000000-000D-0000-FFFF-FFFF00000000}"/>
  </bookViews>
  <sheets>
    <sheet name="зміст" sheetId="1" r:id="rId1"/>
    <sheet name="Вх." sheetId="2" r:id="rId2"/>
    <sheet name="Структ" sheetId="3" r:id="rId3"/>
    <sheet name="РП" sheetId="15" r:id="rId4"/>
    <sheet name="Аналіз" sheetId="30" state="hidden" r:id="rId5"/>
    <sheet name="Дощ.+Сніг" sheetId="34" state="hidden" r:id="rId6"/>
  </sheets>
  <externalReferences>
    <externalReference r:id="rId7"/>
  </externalReferences>
  <definedNames>
    <definedName name="__xlfn_DAYS">#N/A</definedName>
    <definedName name="Excel_BuiltIn_Print_Area" localSheetId="1">Вх.!$A$1:$J$52</definedName>
    <definedName name="Excel_BuiltIn_Print_Area" localSheetId="2">Структ!$A$1:$I$55</definedName>
    <definedName name="Excel_BuiltIn_Print_Area_2" localSheetId="4">#REF!</definedName>
    <definedName name="Excel_BuiltIn_Print_Area_2" localSheetId="0">#REF!</definedName>
    <definedName name="Excel_BuiltIn_Print_Area_2">#REF!</definedName>
    <definedName name="Excel_BuiltIn_Print_Area_4" localSheetId="4">#REF!</definedName>
    <definedName name="Excel_BuiltIn_Print_Area_4" localSheetId="0">#REF!</definedName>
    <definedName name="Excel_BuiltIn_Print_Area_4">#REF!</definedName>
    <definedName name="Excel_BuiltIn_Print_Titles_14_1" localSheetId="0">#REF!</definedName>
    <definedName name="Excel_BuiltIn_Print_Titles_14_1">#REF!</definedName>
    <definedName name="Excel_BuiltIn_Print_Titles_2" localSheetId="4">#REF!</definedName>
    <definedName name="Excel_BuiltIn_Print_Titles_2" localSheetId="0">#REF!</definedName>
    <definedName name="Excel_BuiltIn_Print_Titles_2">#REF!</definedName>
    <definedName name="Excel_BuiltIn_Print_Titles_4" localSheetId="4">#REF!</definedName>
    <definedName name="Excel_BuiltIn_Print_Titles_4" localSheetId="0">#REF!</definedName>
    <definedName name="Excel_BuiltIn_Print_Titles_4">#REF!</definedName>
    <definedName name="А1">#REF!</definedName>
    <definedName name="Ан">#REF!</definedName>
    <definedName name="незнаю" localSheetId="4">#REF!</definedName>
    <definedName name="незнаю">#REF!</definedName>
    <definedName name="_xlnm.Print_Area" localSheetId="4">Аналіз!$A$2:$N$38</definedName>
    <definedName name="_xlnm.Print_Area" localSheetId="1">Вх.!$A$1:$J$52</definedName>
    <definedName name="_xlnm.Print_Area" localSheetId="3">РП!$A$1:$N$39</definedName>
    <definedName name="_xlnm.Print_Area" localSheetId="2">Структ!$A$1:$I$55</definedName>
    <definedName name="ОО">Вх.!#REF!</definedName>
    <definedName name="отклонение" localSheetId="0">[1]Вх.дані!$G$55</definedName>
    <definedName name="отклонение">Вх.!$H$29</definedName>
    <definedName name="отклонение_11">#REF!</definedName>
    <definedName name="пвод" localSheetId="4">Вх.!#REF!</definedName>
    <definedName name="пвод">Вх.!#REF!</definedName>
    <definedName name="пдв" localSheetId="4">Вх.!#REF!</definedName>
    <definedName name="пдв">Вх.!#REF!</definedName>
    <definedName name="пкан" localSheetId="4">Вх.!#REF!</definedName>
    <definedName name="пкан">Вх.!#REF!</definedName>
    <definedName name="Стр">#REF!</definedName>
    <definedName name="Стру">Вх.!#REF!</definedName>
    <definedName name="тот">#REF!</definedName>
    <definedName name="ХХХ" localSheetId="4">#REF!</definedName>
    <definedName name="ХХХ">#REF!</definedName>
  </definedNames>
  <calcPr calcId="191029"/>
</workbook>
</file>

<file path=xl/calcChain.xml><?xml version="1.0" encoding="utf-8"?>
<calcChain xmlns="http://schemas.openxmlformats.org/spreadsheetml/2006/main">
  <c r="I5" i="2" l="1"/>
  <c r="H25" i="2"/>
  <c r="I21" i="2" l="1"/>
  <c r="D38" i="30" l="1"/>
  <c r="I38" i="30"/>
  <c r="I72" i="30" l="1"/>
  <c r="I70" i="30"/>
  <c r="I69" i="30"/>
  <c r="I68" i="30"/>
  <c r="C72" i="30"/>
  <c r="C70" i="30"/>
  <c r="C69" i="30"/>
  <c r="C68" i="30"/>
  <c r="I58" i="30" l="1"/>
  <c r="I55" i="30"/>
  <c r="I53" i="30"/>
  <c r="C52" i="30"/>
  <c r="C59" i="30"/>
  <c r="C58" i="30"/>
  <c r="C55" i="30"/>
  <c r="C53" i="30"/>
  <c r="N4" i="34" l="1"/>
  <c r="L27" i="34"/>
  <c r="H30" i="34" s="1"/>
  <c r="L21" i="34"/>
  <c r="F30" i="34" s="1"/>
  <c r="J30" i="34" l="1"/>
  <c r="I71" i="30" l="1"/>
  <c r="I65" i="30"/>
  <c r="I59" i="30"/>
  <c r="I56" i="30"/>
  <c r="I51" i="30"/>
  <c r="I50" i="30"/>
  <c r="C71" i="30"/>
  <c r="C65" i="30"/>
  <c r="C56" i="30"/>
  <c r="C51" i="30"/>
  <c r="C49" i="30" l="1"/>
  <c r="I49" i="30" l="1"/>
  <c r="C54" i="30"/>
  <c r="I73" i="30"/>
  <c r="E50" i="30"/>
  <c r="K64" i="30"/>
  <c r="E64" i="30"/>
  <c r="F63" i="30"/>
  <c r="I62" i="30"/>
  <c r="F62" i="30"/>
  <c r="C62" i="30"/>
  <c r="I61" i="30"/>
  <c r="F61" i="30"/>
  <c r="C61" i="30"/>
  <c r="I60" i="30"/>
  <c r="F60" i="30"/>
  <c r="C60" i="30"/>
  <c r="F59" i="30"/>
  <c r="F58" i="30"/>
  <c r="F57" i="30"/>
  <c r="F56" i="30"/>
  <c r="F55" i="30"/>
  <c r="F54" i="30"/>
  <c r="F53" i="30"/>
  <c r="F52" i="30"/>
  <c r="F51" i="30"/>
  <c r="F49" i="30"/>
  <c r="F48" i="30"/>
  <c r="C48" i="30" l="1"/>
  <c r="C73" i="30"/>
  <c r="I54" i="30"/>
  <c r="C63" i="30" l="1"/>
  <c r="I48" i="30"/>
  <c r="C64" i="30" l="1"/>
  <c r="I63" i="30"/>
  <c r="G64" i="30" l="1"/>
  <c r="H64" i="30"/>
  <c r="I64" i="30"/>
  <c r="K66" i="30" l="1"/>
  <c r="M64" i="30"/>
  <c r="O64" i="30" s="1"/>
  <c r="P64" i="30"/>
  <c r="N64" i="30"/>
  <c r="I27" i="30" l="1"/>
  <c r="G9" i="2" l="1"/>
  <c r="G8" i="2"/>
  <c r="G7" i="2"/>
  <c r="I7" i="2" s="1"/>
  <c r="K13" i="30" l="1"/>
  <c r="K52" i="30" s="1"/>
  <c r="M52" i="30" s="1"/>
  <c r="K11" i="30" l="1"/>
  <c r="K50" i="30" s="1"/>
  <c r="G8" i="3"/>
  <c r="M50" i="30" l="1"/>
  <c r="O50" i="30" s="1"/>
  <c r="N50" i="30"/>
  <c r="P50" i="30"/>
  <c r="M11" i="30"/>
  <c r="J5" i="2" l="1"/>
  <c r="G38" i="3"/>
  <c r="D38" i="3"/>
  <c r="G51" i="2" l="1"/>
  <c r="G43" i="2"/>
  <c r="E66" i="30" l="1"/>
  <c r="I9" i="2"/>
  <c r="J9" i="2"/>
  <c r="I8" i="2"/>
  <c r="J8" i="2"/>
  <c r="J7" i="2"/>
  <c r="I26" i="30" l="1"/>
  <c r="J12" i="2" l="1"/>
  <c r="F25" i="2" l="1"/>
  <c r="I34" i="30" l="1"/>
  <c r="F12" i="2" l="1"/>
  <c r="I19" i="2" l="1"/>
  <c r="I66" i="30" l="1"/>
  <c r="F19" i="2"/>
  <c r="J11" i="2"/>
  <c r="I11" i="2"/>
  <c r="D15" i="3"/>
  <c r="G15" i="3"/>
  <c r="C34" i="30"/>
  <c r="C26" i="30"/>
  <c r="I23" i="30"/>
  <c r="K18" i="30"/>
  <c r="K57" i="30" s="1"/>
  <c r="M57" i="30" s="1"/>
  <c r="I18" i="30"/>
  <c r="I17" i="30"/>
  <c r="I16" i="30"/>
  <c r="I14" i="30"/>
  <c r="I13" i="30"/>
  <c r="F17" i="2"/>
  <c r="E5" i="2"/>
  <c r="E18" i="2"/>
  <c r="C22" i="30"/>
  <c r="C13" i="30"/>
  <c r="C14" i="30"/>
  <c r="C16" i="30"/>
  <c r="C17" i="30"/>
  <c r="C18" i="30"/>
  <c r="E18" i="30"/>
  <c r="E57" i="30" s="1"/>
  <c r="C23" i="30"/>
  <c r="J8" i="3"/>
  <c r="J27" i="3"/>
  <c r="J40" i="3"/>
  <c r="J41" i="3"/>
  <c r="D45" i="3"/>
  <c r="E41" i="3" s="1"/>
  <c r="D47" i="3"/>
  <c r="G47" i="3"/>
  <c r="E6" i="2"/>
  <c r="F6" i="2"/>
  <c r="G6" i="2"/>
  <c r="I6" i="2" s="1"/>
  <c r="E7" i="2"/>
  <c r="E8" i="2"/>
  <c r="E9" i="2"/>
  <c r="E10" i="2"/>
  <c r="G10" i="2" s="1"/>
  <c r="E13" i="2"/>
  <c r="E15" i="2"/>
  <c r="I15" i="2"/>
  <c r="E16" i="2"/>
  <c r="I16" i="2"/>
  <c r="G20" i="2"/>
  <c r="I22" i="2"/>
  <c r="J22" i="2"/>
  <c r="E23" i="2"/>
  <c r="I23" i="2"/>
  <c r="J23" i="2"/>
  <c r="I25" i="2"/>
  <c r="I26" i="2"/>
  <c r="D28" i="2"/>
  <c r="D29" i="2" s="1"/>
  <c r="D30" i="2"/>
  <c r="D31" i="2" s="1"/>
  <c r="D32" i="2"/>
  <c r="D34" i="2" s="1"/>
  <c r="D33" i="2"/>
  <c r="J13" i="2"/>
  <c r="I13" i="2"/>
  <c r="G46" i="3"/>
  <c r="G21" i="3"/>
  <c r="G44" i="3"/>
  <c r="D46" i="3"/>
  <c r="F10" i="2"/>
  <c r="J10" i="2" l="1"/>
  <c r="P57" i="30"/>
  <c r="G57" i="30"/>
  <c r="O57" i="30" s="1"/>
  <c r="J61" i="30"/>
  <c r="J62" i="30"/>
  <c r="J65" i="30"/>
  <c r="J69" i="30"/>
  <c r="J55" i="30"/>
  <c r="J56" i="30"/>
  <c r="J50" i="30"/>
  <c r="J58" i="30"/>
  <c r="J72" i="30"/>
  <c r="J51" i="30"/>
  <c r="J59" i="30"/>
  <c r="J70" i="30"/>
  <c r="J71" i="30"/>
  <c r="J57" i="30"/>
  <c r="J68" i="30"/>
  <c r="J53" i="30"/>
  <c r="J60" i="30"/>
  <c r="J52" i="30"/>
  <c r="J49" i="30"/>
  <c r="J73" i="30"/>
  <c r="J54" i="30"/>
  <c r="J48" i="30"/>
  <c r="J64" i="30"/>
  <c r="N66" i="30"/>
  <c r="M66" i="30"/>
  <c r="J6" i="2"/>
  <c r="G33" i="2"/>
  <c r="I15" i="30"/>
  <c r="M18" i="30"/>
  <c r="N18" i="30"/>
  <c r="M13" i="30"/>
  <c r="D16" i="3"/>
  <c r="J16" i="3" s="1"/>
  <c r="C15" i="30"/>
  <c r="C21" i="30"/>
  <c r="I22" i="30"/>
  <c r="P18" i="30"/>
  <c r="G18" i="30"/>
  <c r="H18" i="30"/>
  <c r="C12" i="30"/>
  <c r="F5" i="2"/>
  <c r="E17" i="2"/>
  <c r="J38" i="3"/>
  <c r="H20" i="2"/>
  <c r="I20" i="2" s="1"/>
  <c r="J19" i="2"/>
  <c r="C20" i="30"/>
  <c r="J15" i="3"/>
  <c r="E33" i="2"/>
  <c r="I10" i="2"/>
  <c r="K23" i="30"/>
  <c r="K62" i="30" s="1"/>
  <c r="M62" i="30" s="1"/>
  <c r="J34" i="30"/>
  <c r="G10" i="3"/>
  <c r="E28" i="2"/>
  <c r="E29" i="2" s="1"/>
  <c r="G45" i="3"/>
  <c r="G43" i="3" s="1"/>
  <c r="F18" i="2"/>
  <c r="G35" i="3"/>
  <c r="D35" i="3"/>
  <c r="J63" i="30" l="1"/>
  <c r="D16" i="30"/>
  <c r="G32" i="2"/>
  <c r="G34" i="2" s="1"/>
  <c r="G35" i="2" s="1"/>
  <c r="C10" i="30"/>
  <c r="J20" i="2"/>
  <c r="C19" i="30"/>
  <c r="O18" i="30"/>
  <c r="J23" i="30"/>
  <c r="I20" i="30"/>
  <c r="J20" i="30" s="1"/>
  <c r="I21" i="30"/>
  <c r="J21" i="30" s="1"/>
  <c r="I19" i="30"/>
  <c r="J19" i="30" s="1"/>
  <c r="J22" i="30"/>
  <c r="D18" i="30"/>
  <c r="D22" i="30"/>
  <c r="E30" i="2"/>
  <c r="E31" i="2" s="1"/>
  <c r="D13" i="30"/>
  <c r="G18" i="2"/>
  <c r="D17" i="30"/>
  <c r="E32" i="2"/>
  <c r="E34" i="2" s="1"/>
  <c r="D23" i="30"/>
  <c r="D15" i="30"/>
  <c r="D14" i="30"/>
  <c r="D21" i="30"/>
  <c r="D19" i="30"/>
  <c r="D20" i="30"/>
  <c r="G17" i="2"/>
  <c r="D12" i="30"/>
  <c r="H21" i="3"/>
  <c r="H9" i="3"/>
  <c r="H8" i="3"/>
  <c r="H16" i="3"/>
  <c r="H38" i="3"/>
  <c r="H15" i="3"/>
  <c r="H27" i="3"/>
  <c r="E23" i="30"/>
  <c r="E62" i="30" s="1"/>
  <c r="H35" i="3"/>
  <c r="F11" i="2"/>
  <c r="K27" i="30"/>
  <c r="M23" i="30"/>
  <c r="J35" i="3"/>
  <c r="D9" i="3"/>
  <c r="I12" i="30"/>
  <c r="H10" i="3"/>
  <c r="J16" i="30"/>
  <c r="J33" i="30"/>
  <c r="J31" i="30"/>
  <c r="J13" i="30"/>
  <c r="J30" i="30"/>
  <c r="J17" i="30"/>
  <c r="J32" i="30"/>
  <c r="J29" i="30"/>
  <c r="J15" i="30"/>
  <c r="J26" i="30"/>
  <c r="J14" i="30"/>
  <c r="J18" i="30"/>
  <c r="H18" i="2"/>
  <c r="P62" i="30" l="1"/>
  <c r="G62" i="30"/>
  <c r="O62" i="30" s="1"/>
  <c r="L64" i="30"/>
  <c r="L52" i="30"/>
  <c r="L50" i="30"/>
  <c r="L57" i="30"/>
  <c r="L62" i="30"/>
  <c r="L23" i="30"/>
  <c r="L11" i="30"/>
  <c r="I18" i="2"/>
  <c r="J18" i="2"/>
  <c r="D10" i="30"/>
  <c r="E13" i="30"/>
  <c r="E52" i="30" s="1"/>
  <c r="D10" i="3"/>
  <c r="L18" i="30"/>
  <c r="M27" i="30"/>
  <c r="N27" i="30"/>
  <c r="L13" i="30"/>
  <c r="I10" i="30"/>
  <c r="I9" i="30" s="1"/>
  <c r="J12" i="30"/>
  <c r="J9" i="3"/>
  <c r="P23" i="30"/>
  <c r="G23" i="30"/>
  <c r="O23" i="30" s="1"/>
  <c r="H52" i="30" l="1"/>
  <c r="G52" i="30"/>
  <c r="O52" i="30" s="1"/>
  <c r="P52" i="30"/>
  <c r="E27" i="30"/>
  <c r="F64" i="30" s="1"/>
  <c r="C24" i="30"/>
  <c r="C25" i="30" s="1"/>
  <c r="D24" i="30"/>
  <c r="D9" i="30"/>
  <c r="C9" i="30"/>
  <c r="K17" i="30"/>
  <c r="J10" i="30"/>
  <c r="F28" i="2"/>
  <c r="F29" i="2" s="1"/>
  <c r="J10" i="3"/>
  <c r="G13" i="30"/>
  <c r="O13" i="30" s="1"/>
  <c r="P13" i="30"/>
  <c r="H13" i="30"/>
  <c r="M17" i="30" l="1"/>
  <c r="K56" i="30"/>
  <c r="F17" i="30"/>
  <c r="D44" i="3"/>
  <c r="F32" i="2"/>
  <c r="L17" i="30"/>
  <c r="G14" i="3"/>
  <c r="H14" i="3" s="1"/>
  <c r="F30" i="2"/>
  <c r="F31" i="2" s="1"/>
  <c r="I24" i="30"/>
  <c r="J9" i="30"/>
  <c r="E17" i="30"/>
  <c r="E56" i="30" s="1"/>
  <c r="D14" i="3"/>
  <c r="P56" i="30" l="1"/>
  <c r="H56" i="30"/>
  <c r="G56" i="30"/>
  <c r="L56" i="30"/>
  <c r="M56" i="30"/>
  <c r="H17" i="2"/>
  <c r="F18" i="30"/>
  <c r="F23" i="30"/>
  <c r="F13" i="30"/>
  <c r="E40" i="3"/>
  <c r="D43" i="3"/>
  <c r="E14" i="3" s="1"/>
  <c r="F33" i="2"/>
  <c r="F34" i="2" s="1"/>
  <c r="I25" i="30"/>
  <c r="J24" i="30"/>
  <c r="J14" i="3"/>
  <c r="G17" i="30"/>
  <c r="O17" i="30" s="1"/>
  <c r="H17" i="30"/>
  <c r="P17" i="30"/>
  <c r="O56" i="30" l="1"/>
  <c r="E16" i="3"/>
  <c r="E35" i="3"/>
  <c r="E8" i="3"/>
  <c r="E38" i="3"/>
  <c r="E15" i="3"/>
  <c r="E27" i="3"/>
  <c r="E9" i="3"/>
  <c r="E10" i="3"/>
  <c r="J17" i="2"/>
  <c r="I17" i="2"/>
  <c r="J25" i="30"/>
  <c r="D11" i="3" l="1"/>
  <c r="E11" i="3" s="1"/>
  <c r="E14" i="30" l="1"/>
  <c r="F14" i="30"/>
  <c r="D13" i="3"/>
  <c r="E13" i="3" s="1"/>
  <c r="E16" i="30"/>
  <c r="E55" i="30" s="1"/>
  <c r="F16" i="30"/>
  <c r="G14" i="30" l="1"/>
  <c r="E53" i="30"/>
  <c r="G55" i="30"/>
  <c r="H55" i="30"/>
  <c r="H14" i="30"/>
  <c r="D12" i="3"/>
  <c r="E12" i="3" s="1"/>
  <c r="K14" i="30"/>
  <c r="G11" i="3"/>
  <c r="H11" i="3" s="1"/>
  <c r="F15" i="30"/>
  <c r="E15" i="30"/>
  <c r="E54" i="30" s="1"/>
  <c r="H16" i="30"/>
  <c r="G16" i="30"/>
  <c r="N14" i="30" l="1"/>
  <c r="K53" i="30"/>
  <c r="H53" i="30"/>
  <c r="G53" i="30"/>
  <c r="G54" i="30"/>
  <c r="H54" i="30"/>
  <c r="G13" i="3"/>
  <c r="J13" i="3" s="1"/>
  <c r="K16" i="30"/>
  <c r="J11" i="3"/>
  <c r="L14" i="30"/>
  <c r="P14" i="30"/>
  <c r="M14" i="30"/>
  <c r="O14" i="30" s="1"/>
  <c r="G15" i="30"/>
  <c r="H15" i="30"/>
  <c r="M16" i="30" l="1"/>
  <c r="O16" i="30" s="1"/>
  <c r="K55" i="30"/>
  <c r="P53" i="30"/>
  <c r="N53" i="30"/>
  <c r="M53" i="30"/>
  <c r="O53" i="30" s="1"/>
  <c r="L53" i="30"/>
  <c r="H13" i="3"/>
  <c r="K15" i="30"/>
  <c r="P16" i="30"/>
  <c r="L16" i="30"/>
  <c r="N16" i="30"/>
  <c r="G12" i="3"/>
  <c r="H12" i="3" s="1"/>
  <c r="P55" i="30" l="1"/>
  <c r="M55" i="30"/>
  <c r="O55" i="30" s="1"/>
  <c r="N55" i="30"/>
  <c r="L55" i="30"/>
  <c r="M15" i="30"/>
  <c r="O15" i="30" s="1"/>
  <c r="K54" i="30"/>
  <c r="N15" i="30"/>
  <c r="P15" i="30"/>
  <c r="L15" i="30"/>
  <c r="J12" i="3"/>
  <c r="L54" i="30" l="1"/>
  <c r="M54" i="30"/>
  <c r="O54" i="30" s="1"/>
  <c r="N54" i="30"/>
  <c r="P54" i="30"/>
  <c r="K12" i="30" l="1"/>
  <c r="G7" i="3"/>
  <c r="G6" i="3" s="1"/>
  <c r="K10" i="30" l="1"/>
  <c r="K49" i="30" s="1"/>
  <c r="K51" i="30"/>
  <c r="L12" i="30"/>
  <c r="N12" i="30"/>
  <c r="M12" i="30"/>
  <c r="H7" i="3"/>
  <c r="M51" i="30" l="1"/>
  <c r="N51" i="30"/>
  <c r="L51" i="30"/>
  <c r="L49" i="30"/>
  <c r="N49" i="30"/>
  <c r="M49" i="30"/>
  <c r="M10" i="30"/>
  <c r="L10" i="30"/>
  <c r="N10" i="30"/>
  <c r="H6" i="3"/>
  <c r="C66" i="30" l="1"/>
  <c r="D70" i="30" l="1"/>
  <c r="D65" i="30"/>
  <c r="D61" i="30"/>
  <c r="D58" i="30"/>
  <c r="D51" i="30"/>
  <c r="D50" i="30"/>
  <c r="D59" i="30"/>
  <c r="D68" i="30"/>
  <c r="D62" i="30"/>
  <c r="D55" i="30"/>
  <c r="D72" i="30"/>
  <c r="D56" i="30"/>
  <c r="D60" i="30"/>
  <c r="D71" i="30"/>
  <c r="D52" i="30"/>
  <c r="D57" i="30"/>
  <c r="D53" i="30"/>
  <c r="D69" i="30"/>
  <c r="D49" i="30"/>
  <c r="D54" i="30"/>
  <c r="D73" i="30"/>
  <c r="D48" i="30"/>
  <c r="D64" i="30"/>
  <c r="H66" i="30"/>
  <c r="P66" i="30"/>
  <c r="G66" i="30"/>
  <c r="O66" i="30" s="1"/>
  <c r="D63" i="30" l="1"/>
  <c r="D7" i="3" l="1"/>
  <c r="E12" i="30" l="1"/>
  <c r="E51" i="30" s="1"/>
  <c r="F12" i="30"/>
  <c r="D6" i="3"/>
  <c r="E7" i="3"/>
  <c r="J7" i="3"/>
  <c r="G51" i="30" l="1"/>
  <c r="O51" i="30" s="1"/>
  <c r="H51" i="30"/>
  <c r="P51" i="30"/>
  <c r="E10" i="30"/>
  <c r="E49" i="30" s="1"/>
  <c r="F10" i="30"/>
  <c r="G12" i="30"/>
  <c r="O12" i="30" s="1"/>
  <c r="H12" i="30"/>
  <c r="P12" i="30"/>
  <c r="E6" i="3"/>
  <c r="J6" i="3"/>
  <c r="P49" i="30" l="1"/>
  <c r="H49" i="30"/>
  <c r="G49" i="30"/>
  <c r="O49" i="30" s="1"/>
  <c r="D21" i="3"/>
  <c r="H28" i="2"/>
  <c r="H29" i="2" s="1"/>
  <c r="H10" i="30"/>
  <c r="G10" i="30"/>
  <c r="O10" i="30" s="1"/>
  <c r="P10" i="30"/>
  <c r="D18" i="3" l="1"/>
  <c r="D19" i="3"/>
  <c r="J21" i="3"/>
  <c r="E21" i="3"/>
  <c r="E19" i="3" l="1"/>
  <c r="G19" i="3"/>
  <c r="G18" i="3"/>
  <c r="E18" i="3"/>
  <c r="J19" i="3" l="1"/>
  <c r="H19" i="3"/>
  <c r="J18" i="3"/>
  <c r="H18" i="3"/>
  <c r="D20" i="3" l="1"/>
  <c r="G20" i="3"/>
  <c r="K19" i="30" l="1"/>
  <c r="G17" i="3"/>
  <c r="G5" i="3" s="1"/>
  <c r="H20" i="3"/>
  <c r="D17" i="3"/>
  <c r="J20" i="3"/>
  <c r="E20" i="3"/>
  <c r="K9" i="30" l="1"/>
  <c r="K48" i="30" s="1"/>
  <c r="K58" i="30"/>
  <c r="E19" i="30"/>
  <c r="E58" i="30" s="1"/>
  <c r="F19" i="30"/>
  <c r="E9" i="30"/>
  <c r="E48" i="30" s="1"/>
  <c r="N19" i="30"/>
  <c r="M19" i="30"/>
  <c r="L19" i="30"/>
  <c r="J17" i="3"/>
  <c r="D22" i="3"/>
  <c r="E17" i="3"/>
  <c r="D5" i="3"/>
  <c r="H17" i="3"/>
  <c r="G22" i="3"/>
  <c r="G48" i="30" l="1"/>
  <c r="H48" i="30"/>
  <c r="P48" i="30"/>
  <c r="G58" i="30"/>
  <c r="P58" i="30"/>
  <c r="H58" i="30"/>
  <c r="L58" i="30"/>
  <c r="N58" i="30"/>
  <c r="M58" i="30"/>
  <c r="L48" i="30"/>
  <c r="M48" i="30"/>
  <c r="N48" i="30"/>
  <c r="H5" i="3"/>
  <c r="J5" i="3"/>
  <c r="E5" i="3"/>
  <c r="M9" i="30"/>
  <c r="N9" i="30"/>
  <c r="L9" i="30"/>
  <c r="H19" i="30"/>
  <c r="G19" i="30"/>
  <c r="O19" i="30" s="1"/>
  <c r="P19" i="30"/>
  <c r="H22" i="3"/>
  <c r="J22" i="3"/>
  <c r="E22" i="3"/>
  <c r="O48" i="30" l="1"/>
  <c r="O58" i="30"/>
  <c r="H30" i="2"/>
  <c r="H31" i="2" s="1"/>
  <c r="P9" i="30"/>
  <c r="G9" i="30"/>
  <c r="O9" i="30" s="1"/>
  <c r="H9" i="30"/>
  <c r="F9" i="30"/>
  <c r="D24" i="3" l="1"/>
  <c r="D30" i="3"/>
  <c r="D31" i="3"/>
  <c r="D25" i="3"/>
  <c r="D32" i="3"/>
  <c r="E31" i="30" l="1"/>
  <c r="E70" i="30" s="1"/>
  <c r="H38" i="2"/>
  <c r="G32" i="3"/>
  <c r="J32" i="3" s="1"/>
  <c r="G25" i="3"/>
  <c r="E25" i="3"/>
  <c r="E31" i="3"/>
  <c r="E30" i="3"/>
  <c r="G30" i="3"/>
  <c r="H45" i="2"/>
  <c r="G24" i="3"/>
  <c r="E24" i="3"/>
  <c r="D29" i="3"/>
  <c r="E32" i="3"/>
  <c r="D34" i="3"/>
  <c r="G31" i="3"/>
  <c r="F70" i="30" l="1"/>
  <c r="H70" i="30"/>
  <c r="G70" i="30"/>
  <c r="J45" i="2"/>
  <c r="I45" i="2"/>
  <c r="J38" i="2"/>
  <c r="I38" i="2"/>
  <c r="E33" i="30"/>
  <c r="E72" i="30" s="1"/>
  <c r="H37" i="2"/>
  <c r="K29" i="30"/>
  <c r="K68" i="30" s="1"/>
  <c r="J31" i="3"/>
  <c r="H31" i="3"/>
  <c r="H31" i="30"/>
  <c r="G31" i="30"/>
  <c r="F31" i="30"/>
  <c r="E22" i="30"/>
  <c r="E61" i="30" s="1"/>
  <c r="F22" i="30"/>
  <c r="D33" i="3"/>
  <c r="E29" i="3"/>
  <c r="J25" i="3"/>
  <c r="H25" i="3"/>
  <c r="H32" i="3"/>
  <c r="E30" i="30"/>
  <c r="E69" i="30" s="1"/>
  <c r="E34" i="3"/>
  <c r="G34" i="3"/>
  <c r="K22" i="30"/>
  <c r="K61" i="30" s="1"/>
  <c r="E21" i="30"/>
  <c r="E60" i="30" s="1"/>
  <c r="G60" i="30" s="1"/>
  <c r="F21" i="30"/>
  <c r="H46" i="2"/>
  <c r="J24" i="3"/>
  <c r="H24" i="3"/>
  <c r="K21" i="30"/>
  <c r="K60" i="30" s="1"/>
  <c r="G29" i="3"/>
  <c r="J29" i="3" s="1"/>
  <c r="H30" i="3"/>
  <c r="J30" i="3"/>
  <c r="H39" i="2"/>
  <c r="E29" i="30"/>
  <c r="E68" i="30" s="1"/>
  <c r="N68" i="30" l="1"/>
  <c r="M68" i="30"/>
  <c r="L68" i="30"/>
  <c r="P61" i="30"/>
  <c r="G61" i="30"/>
  <c r="L61" i="30"/>
  <c r="M61" i="30"/>
  <c r="G72" i="30"/>
  <c r="F72" i="30"/>
  <c r="H72" i="30"/>
  <c r="P60" i="30"/>
  <c r="L60" i="30"/>
  <c r="M60" i="30"/>
  <c r="O60" i="30" s="1"/>
  <c r="F68" i="30"/>
  <c r="Q68" i="30"/>
  <c r="G68" i="30"/>
  <c r="P68" i="30"/>
  <c r="H68" i="30"/>
  <c r="H69" i="30"/>
  <c r="G69" i="30"/>
  <c r="F69" i="30"/>
  <c r="J37" i="2"/>
  <c r="I37" i="2"/>
  <c r="K30" i="30"/>
  <c r="J46" i="2"/>
  <c r="I46" i="2"/>
  <c r="J39" i="2"/>
  <c r="I39" i="2"/>
  <c r="G26" i="3"/>
  <c r="M21" i="30"/>
  <c r="L21" i="30"/>
  <c r="M22" i="30"/>
  <c r="L22" i="30"/>
  <c r="J34" i="3"/>
  <c r="H34" i="3"/>
  <c r="H40" i="2"/>
  <c r="E33" i="3"/>
  <c r="H33" i="30"/>
  <c r="F33" i="30"/>
  <c r="G33" i="30"/>
  <c r="H29" i="30"/>
  <c r="G29" i="30"/>
  <c r="F29" i="30"/>
  <c r="P29" i="30"/>
  <c r="H48" i="2"/>
  <c r="K31" i="30"/>
  <c r="K70" i="30" s="1"/>
  <c r="K33" i="30"/>
  <c r="G33" i="3"/>
  <c r="J33" i="3" s="1"/>
  <c r="H29" i="3"/>
  <c r="H47" i="2"/>
  <c r="P21" i="30"/>
  <c r="G21" i="30"/>
  <c r="F30" i="30"/>
  <c r="G30" i="30"/>
  <c r="H30" i="30"/>
  <c r="Q29" i="30"/>
  <c r="N29" i="30"/>
  <c r="L29" i="30"/>
  <c r="M29" i="30"/>
  <c r="D26" i="3"/>
  <c r="G22" i="30"/>
  <c r="P22" i="30"/>
  <c r="J40" i="2" l="1"/>
  <c r="I40" i="2"/>
  <c r="O68" i="30"/>
  <c r="Q30" i="30"/>
  <c r="K69" i="30"/>
  <c r="Q70" i="30"/>
  <c r="L70" i="30"/>
  <c r="N70" i="30"/>
  <c r="M70" i="30"/>
  <c r="O70" i="30" s="1"/>
  <c r="P70" i="30"/>
  <c r="P33" i="30"/>
  <c r="K72" i="30"/>
  <c r="O61" i="30"/>
  <c r="J48" i="2"/>
  <c r="I48" i="2"/>
  <c r="N30" i="30"/>
  <c r="L30" i="30"/>
  <c r="P30" i="30"/>
  <c r="O21" i="30"/>
  <c r="M30" i="30"/>
  <c r="O30" i="30" s="1"/>
  <c r="J47" i="2"/>
  <c r="I47" i="2"/>
  <c r="O22" i="30"/>
  <c r="O29" i="30"/>
  <c r="E26" i="3"/>
  <c r="J26" i="3"/>
  <c r="G23" i="3"/>
  <c r="K20" i="30"/>
  <c r="K59" i="30" s="1"/>
  <c r="D23" i="3"/>
  <c r="H33" i="3"/>
  <c r="M33" i="30"/>
  <c r="O33" i="30" s="1"/>
  <c r="N33" i="30"/>
  <c r="L33" i="30"/>
  <c r="N31" i="30"/>
  <c r="M31" i="30"/>
  <c r="O31" i="30" s="1"/>
  <c r="L31" i="30"/>
  <c r="Q31" i="30"/>
  <c r="P31" i="30"/>
  <c r="Q33" i="30"/>
  <c r="H26" i="3"/>
  <c r="L59" i="30" l="1"/>
  <c r="M59" i="30"/>
  <c r="N59" i="30"/>
  <c r="K63" i="30"/>
  <c r="L72" i="30"/>
  <c r="N72" i="30"/>
  <c r="M72" i="30"/>
  <c r="O72" i="30" s="1"/>
  <c r="P72" i="30"/>
  <c r="Q72" i="30"/>
  <c r="M69" i="30"/>
  <c r="O69" i="30" s="1"/>
  <c r="L69" i="30"/>
  <c r="N69" i="30"/>
  <c r="P69" i="30"/>
  <c r="Q69" i="30"/>
  <c r="E20" i="30"/>
  <c r="E59" i="30" s="1"/>
  <c r="F20" i="30"/>
  <c r="E32" i="30"/>
  <c r="E71" i="30" s="1"/>
  <c r="E23" i="3"/>
  <c r="J23" i="3"/>
  <c r="D28" i="3"/>
  <c r="D36" i="3"/>
  <c r="K32" i="30"/>
  <c r="K71" i="30" s="1"/>
  <c r="K34" i="30"/>
  <c r="K73" i="30" s="1"/>
  <c r="M20" i="30"/>
  <c r="L20" i="30"/>
  <c r="N20" i="30"/>
  <c r="K24" i="30"/>
  <c r="H23" i="3"/>
  <c r="G28" i="3"/>
  <c r="G36" i="3"/>
  <c r="Q71" i="30" l="1"/>
  <c r="F71" i="30"/>
  <c r="G71" i="30"/>
  <c r="H71" i="30"/>
  <c r="P71" i="30"/>
  <c r="G59" i="30"/>
  <c r="O59" i="30" s="1"/>
  <c r="P59" i="30"/>
  <c r="H59" i="30"/>
  <c r="E63" i="30"/>
  <c r="M73" i="30"/>
  <c r="N73" i="30"/>
  <c r="L73" i="30"/>
  <c r="N71" i="30"/>
  <c r="M71" i="30"/>
  <c r="L71" i="30"/>
  <c r="L63" i="30"/>
  <c r="K65" i="30"/>
  <c r="M63" i="30"/>
  <c r="N63" i="30"/>
  <c r="E36" i="3"/>
  <c r="J36" i="3"/>
  <c r="E28" i="3"/>
  <c r="J28" i="3"/>
  <c r="E34" i="30"/>
  <c r="E24" i="30"/>
  <c r="H36" i="3"/>
  <c r="L33" i="2" s="1"/>
  <c r="H28" i="3"/>
  <c r="L24" i="30"/>
  <c r="M24" i="30"/>
  <c r="N24" i="30"/>
  <c r="M32" i="30"/>
  <c r="L32" i="30"/>
  <c r="N32" i="30"/>
  <c r="F32" i="30"/>
  <c r="P32" i="30"/>
  <c r="G32" i="30"/>
  <c r="H32" i="30"/>
  <c r="Q32" i="30"/>
  <c r="G20" i="30"/>
  <c r="O20" i="30" s="1"/>
  <c r="H20" i="30"/>
  <c r="P20" i="30"/>
  <c r="N65" i="30" l="1"/>
  <c r="M65" i="30"/>
  <c r="L65" i="30"/>
  <c r="O71" i="30"/>
  <c r="E65" i="30"/>
  <c r="H63" i="30"/>
  <c r="G63" i="30"/>
  <c r="O63" i="30" s="1"/>
  <c r="P63" i="30"/>
  <c r="P34" i="30"/>
  <c r="E73" i="30"/>
  <c r="G39" i="3"/>
  <c r="G37" i="3" s="1"/>
  <c r="D39" i="3"/>
  <c r="O32" i="30"/>
  <c r="F24" i="30"/>
  <c r="M34" i="30"/>
  <c r="L34" i="30"/>
  <c r="N34" i="30"/>
  <c r="P24" i="30"/>
  <c r="G24" i="30"/>
  <c r="O24" i="30" s="1"/>
  <c r="H24" i="30"/>
  <c r="Q34" i="30"/>
  <c r="Q35" i="30" s="1"/>
  <c r="H34" i="30"/>
  <c r="F34" i="30"/>
  <c r="G34" i="30"/>
  <c r="R68" i="30" l="1"/>
  <c r="R70" i="30"/>
  <c r="R69" i="30"/>
  <c r="R72" i="30"/>
  <c r="H65" i="30"/>
  <c r="F65" i="30"/>
  <c r="G65" i="30"/>
  <c r="O65" i="30" s="1"/>
  <c r="P65" i="30"/>
  <c r="R71" i="30"/>
  <c r="F73" i="30"/>
  <c r="G73" i="30"/>
  <c r="O73" i="30" s="1"/>
  <c r="H73" i="30"/>
  <c r="P73" i="30"/>
  <c r="Q73" i="30"/>
  <c r="O34" i="30"/>
  <c r="H39" i="3"/>
  <c r="D37" i="3"/>
  <c r="J39" i="3"/>
  <c r="E39" i="3"/>
  <c r="E37" i="3" s="1"/>
  <c r="E42" i="3" s="1"/>
  <c r="L32" i="2" s="1"/>
  <c r="H37" i="3"/>
  <c r="H50" i="2"/>
  <c r="G42" i="3"/>
  <c r="H51" i="2" s="1"/>
  <c r="R34" i="30"/>
  <c r="R35" i="30"/>
  <c r="R30" i="30"/>
  <c r="R29" i="30"/>
  <c r="R33" i="30"/>
  <c r="R31" i="30"/>
  <c r="R32" i="30"/>
  <c r="H49" i="2" l="1"/>
  <c r="R73" i="30"/>
  <c r="Q74" i="30"/>
  <c r="R74" i="30" s="1"/>
  <c r="K25" i="30"/>
  <c r="E25" i="30"/>
  <c r="I12" i="3"/>
  <c r="H48" i="3"/>
  <c r="I35" i="3"/>
  <c r="I20" i="3"/>
  <c r="I32" i="3"/>
  <c r="I23" i="3"/>
  <c r="I38" i="3"/>
  <c r="I7" i="3"/>
  <c r="I13" i="3"/>
  <c r="I17" i="3"/>
  <c r="I29" i="3"/>
  <c r="I28" i="3"/>
  <c r="I36" i="3"/>
  <c r="I24" i="3"/>
  <c r="I8" i="3"/>
  <c r="I21" i="3"/>
  <c r="I27" i="3"/>
  <c r="I5" i="3"/>
  <c r="I34" i="3"/>
  <c r="I26" i="3"/>
  <c r="I40" i="3"/>
  <c r="I25" i="3"/>
  <c r="I16" i="3"/>
  <c r="H42" i="3"/>
  <c r="G49" i="3"/>
  <c r="I22" i="3"/>
  <c r="I33" i="3"/>
  <c r="I10" i="3"/>
  <c r="I18" i="3"/>
  <c r="I41" i="3"/>
  <c r="I39" i="3"/>
  <c r="I42" i="3"/>
  <c r="I31" i="3"/>
  <c r="I6" i="3"/>
  <c r="I9" i="3"/>
  <c r="I15" i="3"/>
  <c r="I14" i="3"/>
  <c r="I11" i="3"/>
  <c r="I19" i="3"/>
  <c r="I30" i="3"/>
  <c r="J37" i="3"/>
  <c r="H42" i="2"/>
  <c r="D42" i="3"/>
  <c r="F37" i="3" s="1"/>
  <c r="J50" i="2"/>
  <c r="I50" i="2"/>
  <c r="I37" i="3"/>
  <c r="G25" i="30" l="1"/>
  <c r="H25" i="30"/>
  <c r="F25" i="30"/>
  <c r="P25" i="30"/>
  <c r="E26" i="30"/>
  <c r="L25" i="30"/>
  <c r="M25" i="30"/>
  <c r="N25" i="30"/>
  <c r="K26" i="30"/>
  <c r="J51" i="2"/>
  <c r="I51" i="2"/>
  <c r="E48" i="3"/>
  <c r="J42" i="3"/>
  <c r="F20" i="3"/>
  <c r="F24" i="3"/>
  <c r="F13" i="3"/>
  <c r="F15" i="3"/>
  <c r="F17" i="3"/>
  <c r="F6" i="3"/>
  <c r="F28" i="3"/>
  <c r="F39" i="3"/>
  <c r="F25" i="3"/>
  <c r="F16" i="3"/>
  <c r="F41" i="3"/>
  <c r="F29" i="3"/>
  <c r="F14" i="3"/>
  <c r="F11" i="3"/>
  <c r="F26" i="3"/>
  <c r="F30" i="3"/>
  <c r="F27" i="3"/>
  <c r="F10" i="3"/>
  <c r="D49" i="3"/>
  <c r="F5" i="3"/>
  <c r="F34" i="3"/>
  <c r="F32" i="3"/>
  <c r="F23" i="3"/>
  <c r="F42" i="3"/>
  <c r="F18" i="3"/>
  <c r="F40" i="3"/>
  <c r="F12" i="3"/>
  <c r="F7" i="3"/>
  <c r="F22" i="3"/>
  <c r="F33" i="3"/>
  <c r="F21" i="3"/>
  <c r="F8" i="3"/>
  <c r="H43" i="2"/>
  <c r="F36" i="3"/>
  <c r="F9" i="3"/>
  <c r="F38" i="3"/>
  <c r="F19" i="3"/>
  <c r="F31" i="3"/>
  <c r="F35" i="3"/>
  <c r="J42" i="2"/>
  <c r="I42" i="2"/>
  <c r="G50" i="3"/>
  <c r="H49" i="3"/>
  <c r="H51" i="3"/>
  <c r="I52" i="3"/>
  <c r="H50" i="3"/>
  <c r="O25" i="30" l="1"/>
  <c r="H26" i="30"/>
  <c r="F26" i="30"/>
  <c r="P26" i="30"/>
  <c r="G26" i="30"/>
  <c r="L26" i="30"/>
  <c r="M26" i="30"/>
  <c r="N26" i="30"/>
  <c r="D50" i="3"/>
  <c r="L42" i="3"/>
  <c r="M42" i="3" s="1"/>
  <c r="H41" i="2"/>
  <c r="J43" i="2"/>
  <c r="I43" i="2"/>
  <c r="F52" i="3"/>
  <c r="E51" i="3"/>
  <c r="E49" i="3"/>
  <c r="J49" i="3" s="1"/>
  <c r="J48" i="3"/>
  <c r="K48" i="3" s="1"/>
  <c r="E50" i="3"/>
  <c r="H33" i="2"/>
  <c r="H52" i="3"/>
  <c r="H53" i="3"/>
  <c r="J49" i="2"/>
  <c r="I49" i="2"/>
  <c r="O26" i="30" l="1"/>
  <c r="I41" i="2"/>
  <c r="J41" i="2"/>
  <c r="K42" i="3"/>
  <c r="K13" i="3"/>
  <c r="K41" i="3"/>
  <c r="K17" i="3"/>
  <c r="K24" i="3"/>
  <c r="K12" i="3"/>
  <c r="K11" i="3"/>
  <c r="K33" i="3"/>
  <c r="K30" i="3"/>
  <c r="K28" i="3"/>
  <c r="K22" i="3"/>
  <c r="K21" i="3"/>
  <c r="K18" i="3"/>
  <c r="K19" i="3"/>
  <c r="K20" i="3"/>
  <c r="K8" i="3"/>
  <c r="K10" i="3"/>
  <c r="K7" i="3"/>
  <c r="K5" i="3"/>
  <c r="K34" i="3"/>
  <c r="K38" i="3"/>
  <c r="K23" i="3"/>
  <c r="K9" i="3"/>
  <c r="K31" i="3"/>
  <c r="K35" i="3"/>
  <c r="K37" i="3"/>
  <c r="K14" i="3"/>
  <c r="K16" i="3"/>
  <c r="K6" i="3"/>
  <c r="K32" i="3"/>
  <c r="K26" i="3"/>
  <c r="K40" i="3"/>
  <c r="K15" i="3"/>
  <c r="K36" i="3"/>
  <c r="K27" i="3"/>
  <c r="K39" i="3"/>
  <c r="K25" i="3"/>
  <c r="K29" i="3"/>
  <c r="H32" i="2"/>
  <c r="J50" i="3"/>
  <c r="E53" i="3"/>
  <c r="J53" i="3" s="1"/>
  <c r="E52" i="3"/>
  <c r="J52" i="3" s="1"/>
  <c r="J51" i="3"/>
  <c r="J33" i="2"/>
  <c r="I33" i="2"/>
  <c r="J32" i="2" l="1"/>
  <c r="H34" i="2"/>
  <c r="I32" i="2"/>
  <c r="I34" i="2" l="1"/>
  <c r="J34" i="2"/>
  <c r="H35" i="2"/>
  <c r="J35" i="2" l="1"/>
  <c r="I35" i="2"/>
  <c r="C27" i="30" l="1"/>
  <c r="D33" i="30" l="1"/>
  <c r="P27" i="30"/>
  <c r="H27" i="30"/>
  <c r="D31" i="30"/>
  <c r="D29" i="30"/>
  <c r="G27" i="30"/>
  <c r="O27" i="30" s="1"/>
  <c r="D25" i="30"/>
  <c r="D26" i="30"/>
  <c r="D32" i="30"/>
  <c r="D34" i="30"/>
  <c r="D30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Ігор Тітов</author>
  </authors>
  <commentList>
    <comment ref="A19" authorId="0" shapeId="0" xr:uid="{00000000-0006-0000-0500-000001000000}">
      <text>
        <r>
          <rPr>
            <b/>
            <sz val="8"/>
            <color indexed="81"/>
            <rFont val="Tahoma"/>
            <family val="2"/>
            <charset val="204"/>
          </rPr>
          <t>Ігор Тітов:</t>
        </r>
        <r>
          <rPr>
            <sz val="8"/>
            <color indexed="81"/>
            <rFont val="Tahoma"/>
            <family val="2"/>
            <charset val="204"/>
          </rPr>
          <t xml:space="preserve">
Згідно з додатком 3 Наказу № 190</t>
        </r>
      </text>
    </comment>
    <comment ref="D21" authorId="0" shapeId="0" xr:uid="{00000000-0006-0000-0500-000002000000}">
      <text>
        <r>
          <rPr>
            <b/>
            <sz val="8"/>
            <color indexed="81"/>
            <rFont val="Tahoma"/>
            <family val="2"/>
            <charset val="204"/>
          </rPr>
          <t>Ігор Тітов:</t>
        </r>
        <r>
          <rPr>
            <sz val="8"/>
            <color indexed="81"/>
            <rFont val="Tahoma"/>
            <family val="2"/>
            <charset val="204"/>
          </rPr>
          <t xml:space="preserve">
Схема санітарного очищення населених пунктів ГСР-13.10.2022</t>
        </r>
      </text>
    </comment>
    <comment ref="D27" authorId="0" shapeId="0" xr:uid="{00000000-0006-0000-0500-000003000000}">
      <text>
        <r>
          <rPr>
            <b/>
            <sz val="8"/>
            <color indexed="81"/>
            <rFont val="Tahoma"/>
            <family val="2"/>
            <charset val="204"/>
          </rPr>
          <t>Ігор Тітов:</t>
        </r>
        <r>
          <rPr>
            <sz val="8"/>
            <color indexed="81"/>
            <rFont val="Tahoma"/>
            <family val="2"/>
            <charset val="204"/>
          </rPr>
          <t xml:space="preserve">
Схема санітарного очищення населених пунктів ГСР-13.10.2022</t>
        </r>
      </text>
    </comment>
  </commentList>
</comments>
</file>

<file path=xl/sharedStrings.xml><?xml version="1.0" encoding="utf-8"?>
<sst xmlns="http://schemas.openxmlformats.org/spreadsheetml/2006/main" count="550" uniqueCount="388">
  <si>
    <t>№</t>
  </si>
  <si>
    <t>Зміст</t>
  </si>
  <si>
    <t>Посилання на документ</t>
  </si>
  <si>
    <t>Заява за встановленою формою</t>
  </si>
  <si>
    <t>Пояснювальна записка (обґрунтування потреби встановлення тарифів)</t>
  </si>
  <si>
    <t>Інформація про суб'єкта господарювання (заявника)</t>
  </si>
  <si>
    <t>Інформація про середньооблікову чисельність персоналу суб'єкта господарювання (заявника)</t>
  </si>
  <si>
    <t>Копія штатного розпису суб'єкта господарювання</t>
  </si>
  <si>
    <t>Копія колективного договору суб'єкта господарювання (за наявності)</t>
  </si>
  <si>
    <t>Інвестиційна програма суб'єкта господарювання (за наявності)</t>
  </si>
  <si>
    <t>Копії установчих документів (статуту, витягу з Єдиного державного реєстру юридичних осіб, фізичних осіб - підприємців та громадських формувань тощо)</t>
  </si>
  <si>
    <t>Копії розпорядчих документів про облікову політику підприємства з визначенням бази розподілу понесених витрат</t>
  </si>
  <si>
    <t>Копії договорів, укладених з організаціями, підприємствами та суб'єктами господарювання для забезпечення надання комунальних послуг</t>
  </si>
  <si>
    <t>Інформація щодо балансової вартості основних засобів, інших необоротних матеріальних і нематеріальних активів</t>
  </si>
  <si>
    <t>Розрахунки тарифів та їх складових</t>
  </si>
  <si>
    <t>Розрахунок втрат суб'єкта господарювання, які зазнано протягом періоду розгляду розрахунків тарифів на послуги з централізованого водопостачання, централізованого водовідведення для відповідної категорії споживачів, встановлення та їх оприлюднення органом місцевого самоврядування, або копія рішення органу місцевого самоврядування про відшкодування таких втрат із місцевого бюджету</t>
  </si>
  <si>
    <t>Річний план надання послуг з централізованого водопостачання та централізованого водовідведення</t>
  </si>
  <si>
    <t>Копія рішення органу місцевого самоврядування про встановлення поточних індивідуальних технологічних нормативів використання питної води</t>
  </si>
  <si>
    <t>Інформація про суб'єкта господарювання, що здійснює надання послуги з централізованого водопостачання/централізованого водовідведення (загальна характеристика виконавця послуги з централізованого водопостачання/централізованого водовідведення)</t>
  </si>
  <si>
    <t>Загальновиробничі норми питомих витрат паливно-енергетичних ресурсів</t>
  </si>
  <si>
    <t>Інформація щодо надання послуг з централізованого водопостачання та централізованого водовідведення виконавцем відповідних послуг</t>
  </si>
  <si>
    <t>Копія дозволу на спеціальне водокористування або дозволу на користування надрами (у разі використання підземних вод)</t>
  </si>
  <si>
    <t xml:space="preserve">Показники </t>
  </si>
  <si>
    <t>Одиниця
виміру</t>
  </si>
  <si>
    <t>Фактичні дані,  2011</t>
  </si>
  <si>
    <t>Фактичні дані,  2014</t>
  </si>
  <si>
    <t>Дані 2016 року</t>
  </si>
  <si>
    <t xml:space="preserve">% росту плану до діючого тарифу </t>
  </si>
  <si>
    <t>(+,-)</t>
  </si>
  <si>
    <t>Вартісні дані</t>
  </si>
  <si>
    <t xml:space="preserve">грн. </t>
  </si>
  <si>
    <t>Ціна 1м3 природного газу (з транспортуванням)</t>
  </si>
  <si>
    <t>Ціна 1 л. дизельного пального</t>
  </si>
  <si>
    <t>Ціна 1 літра газу зрідженого (скрапленого)</t>
  </si>
  <si>
    <t>Ціна 1 кг мастил для автотранспорту</t>
  </si>
  <si>
    <t>Тариф реактивної електроенергії</t>
  </si>
  <si>
    <t>Інші дані</t>
  </si>
  <si>
    <t>Загальновиробничі норми питомих витрат електричної енергії на водопостачання, кВт·год/м3</t>
  </si>
  <si>
    <t>Загальновиробничі норми питомих витрат електричної енергії на водовідведення, кВт·год/м4</t>
  </si>
  <si>
    <t>Обсяги реалізації по водопостачанню</t>
  </si>
  <si>
    <t>тис.м.куб.</t>
  </si>
  <si>
    <t>Обсяги реалізації по водовідведенню</t>
  </si>
  <si>
    <t>Прожитковий мінімум</t>
  </si>
  <si>
    <t>Годинна тарифна ставка</t>
  </si>
  <si>
    <t>1,2*1,5</t>
  </si>
  <si>
    <t>1,6*1,58</t>
  </si>
  <si>
    <t>Коефіціент для робітника 1 розряду (експлуатація та обслуговування обладнання систем водозабезпечення та водовідведення)</t>
  </si>
  <si>
    <t>Годинна тарифна ставка робітника 1 розряду (експлуатація та обслуговування обладнання систем водозабезпечення та водовідведення)</t>
  </si>
  <si>
    <t>Розмір відрахувань на загальнообов’язкове державне соціальне страхування (єдиний соціальний внесок)</t>
  </si>
  <si>
    <t>%</t>
  </si>
  <si>
    <t>Середня кількість робочих годин у місяці</t>
  </si>
  <si>
    <t>год./міс.</t>
  </si>
  <si>
    <t>Курс гривні до долара США</t>
  </si>
  <si>
    <t>База розподілу витрат</t>
  </si>
  <si>
    <t>База розподілу загальновиробничих витрат, віднесених на водопостачання - прямі витрати на водопостачання</t>
  </si>
  <si>
    <t>База розподілу загальновиробничих витрат, віднесених на водоідведення - прямі витрати на водовідведення</t>
  </si>
  <si>
    <t>База розподілу адміністративних витрат,витрат на збут, віднесених на водопостачання -питома вага витрат виробничої собівартості ЦВП</t>
  </si>
  <si>
    <t>База розподілу адміністративних витрат,витрат на збут, віднесених на водовідведення - питома вага витрат виробничої собівартості ЦВВ</t>
  </si>
  <si>
    <t>грн/м3</t>
  </si>
  <si>
    <t>По нормі на 1 споживача</t>
  </si>
  <si>
    <t xml:space="preserve">В тарифі без ПДВ, грн. / 1 куб.м. води </t>
  </si>
  <si>
    <t>план, 
грн/м3</t>
  </si>
  <si>
    <t>Електроенергія</t>
  </si>
  <si>
    <t>Оплата праці</t>
  </si>
  <si>
    <t>Відрахування</t>
  </si>
  <si>
    <t>Амортизація</t>
  </si>
  <si>
    <t>Матеріали і послуги</t>
  </si>
  <si>
    <t>Інвестиції</t>
  </si>
  <si>
    <t>Всього</t>
  </si>
  <si>
    <t>В тарифі без ПДВ, грн. / 1 куб.м. стоків</t>
  </si>
  <si>
    <t>N</t>
  </si>
  <si>
    <t>Показник </t>
  </si>
  <si>
    <t>Код рядка</t>
  </si>
  <si>
    <t>централізоване водопостачання</t>
  </si>
  <si>
    <t>централізоване водовідведення</t>
  </si>
  <si>
    <t>Всього витрат ліцензованої діяльності</t>
  </si>
  <si>
    <t>усього, тис. грн </t>
  </si>
  <si>
    <r>
      <rPr>
        <b/>
        <sz val="9"/>
        <rFont val="Times New Roman"/>
        <family val="1"/>
        <charset val="204"/>
      </rPr>
      <t>грн/м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 </t>
    </r>
  </si>
  <si>
    <t>1 </t>
  </si>
  <si>
    <t> Виробнича собівартість, усього, у т.ч.: </t>
  </si>
  <si>
    <t>001</t>
  </si>
  <si>
    <t>1.1 </t>
  </si>
  <si>
    <t> Прямі матеріальні витрати, у тому числі: </t>
  </si>
  <si>
    <t>002</t>
  </si>
  <si>
    <t>1.1.1 </t>
  </si>
  <si>
    <t>    електроенергія </t>
  </si>
  <si>
    <t>005</t>
  </si>
  <si>
    <t>1.1.2 </t>
  </si>
  <si>
    <t>004</t>
  </si>
  <si>
    <t>витрати на реагенти</t>
  </si>
  <si>
    <t>1.1.3 </t>
  </si>
  <si>
    <t>    інші прямі матеріальні витрати (ремонти)</t>
  </si>
  <si>
    <t>006</t>
  </si>
  <si>
    <t>1.2 </t>
  </si>
  <si>
    <t> Прямі витрати на оплату праці </t>
  </si>
  <si>
    <t>007</t>
  </si>
  <si>
    <t>1.3 </t>
  </si>
  <si>
    <t> Інші прямі витрати, у тому числі: </t>
  </si>
  <si>
    <t>008</t>
  </si>
  <si>
    <t>1.3.1 </t>
  </si>
  <si>
    <t>відрахування на соціальні заходи</t>
  </si>
  <si>
    <t>009</t>
  </si>
  <si>
    <t>1.3.2 </t>
  </si>
  <si>
    <t xml:space="preserve">амортизаційні відрахування </t>
  </si>
  <si>
    <t>010</t>
  </si>
  <si>
    <t>1.3.3 </t>
  </si>
  <si>
    <t>підкачка води сторонніми організаціями</t>
  </si>
  <si>
    <t>011</t>
  </si>
  <si>
    <t>1.3.4 </t>
  </si>
  <si>
    <t>інші прямі витрати </t>
  </si>
  <si>
    <t>1.4 </t>
  </si>
  <si>
    <t> Загальновиробничі витрати </t>
  </si>
  <si>
    <t>012</t>
  </si>
  <si>
    <t xml:space="preserve"> 1.4.1</t>
  </si>
  <si>
    <t>витрати на оплату праці</t>
  </si>
  <si>
    <t xml:space="preserve"> 1.4.2</t>
  </si>
  <si>
    <t xml:space="preserve"> 1.4.3</t>
  </si>
  <si>
    <t xml:space="preserve"> 1.4.4</t>
  </si>
  <si>
    <t>податки</t>
  </si>
  <si>
    <t xml:space="preserve"> 1.4.5</t>
  </si>
  <si>
    <t>2 </t>
  </si>
  <si>
    <t> Адміністративні витрати </t>
  </si>
  <si>
    <t>013</t>
  </si>
  <si>
    <t xml:space="preserve"> 2.1</t>
  </si>
  <si>
    <t xml:space="preserve"> 2.2</t>
  </si>
  <si>
    <t xml:space="preserve"> 2.3</t>
  </si>
  <si>
    <t xml:space="preserve"> 2.4</t>
  </si>
  <si>
    <t>3 </t>
  </si>
  <si>
    <t> Витрати на збут </t>
  </si>
  <si>
    <t>014</t>
  </si>
  <si>
    <t xml:space="preserve"> 3.1</t>
  </si>
  <si>
    <t xml:space="preserve"> 3.2</t>
  </si>
  <si>
    <t xml:space="preserve"> 3.3</t>
  </si>
  <si>
    <t xml:space="preserve"> 3.4</t>
  </si>
  <si>
    <t>4 </t>
  </si>
  <si>
    <t> Інші операційні витрати</t>
  </si>
  <si>
    <t>015</t>
  </si>
  <si>
    <t>5 </t>
  </si>
  <si>
    <t>016</t>
  </si>
  <si>
    <t>6 </t>
  </si>
  <si>
    <t> Усього витрат повної собівартості</t>
  </si>
  <si>
    <t>017</t>
  </si>
  <si>
    <t>7 </t>
  </si>
  <si>
    <t>Планований прибуток </t>
  </si>
  <si>
    <t>018</t>
  </si>
  <si>
    <t>7.1 </t>
  </si>
  <si>
    <t> Податок на прибуток </t>
  </si>
  <si>
    <t>019</t>
  </si>
  <si>
    <t>7.2 </t>
  </si>
  <si>
    <t>020</t>
  </si>
  <si>
    <t>7.2.1 </t>
  </si>
  <si>
    <t>          дивіденди </t>
  </si>
  <si>
    <t>021</t>
  </si>
  <si>
    <t>7.2.2 </t>
  </si>
  <si>
    <t>          резервний фонд (капітал) </t>
  </si>
  <si>
    <t>022</t>
  </si>
  <si>
    <t>8 </t>
  </si>
  <si>
    <t>Вартість водопостачання споживачам за відповідними тарифами </t>
  </si>
  <si>
    <t>025</t>
  </si>
  <si>
    <t>9 </t>
  </si>
  <si>
    <t> Обсяг водопостачання споживачам, усього</t>
  </si>
  <si>
    <t>026</t>
  </si>
  <si>
    <t>х </t>
  </si>
  <si>
    <t>9.1 </t>
  </si>
  <si>
    <t>    населенню</t>
  </si>
  <si>
    <t>027</t>
  </si>
  <si>
    <t>9.2 </t>
  </si>
  <si>
    <t xml:space="preserve">іншим ВКГ </t>
  </si>
  <si>
    <t>028</t>
  </si>
  <si>
    <t>9.3 </t>
  </si>
  <si>
    <t>    іншим споживачам </t>
  </si>
  <si>
    <t>029</t>
  </si>
  <si>
    <t>9.4 </t>
  </si>
  <si>
    <t>по внутрішньому обліку на виконання послуги з централізованого постачання холодної води (з використанням внутрішньобудинкових систем)</t>
  </si>
  <si>
    <t>030</t>
  </si>
  <si>
    <t>10 </t>
  </si>
  <si>
    <t> Середньозважений тариф без ПДВ</t>
  </si>
  <si>
    <t>031</t>
  </si>
  <si>
    <t>ПДВ</t>
  </si>
  <si>
    <t>Доходи / тариф з ПДВ</t>
  </si>
  <si>
    <t>З ПДВ</t>
  </si>
  <si>
    <t xml:space="preserve"> + до діючого тарифу</t>
  </si>
  <si>
    <t>по нормі на 1 особу в місяць</t>
  </si>
  <si>
    <t>Директор</t>
  </si>
  <si>
    <t>Водопостачання</t>
  </si>
  <si>
    <t>Водовідведення</t>
  </si>
  <si>
    <t>Інші операційні витрати</t>
  </si>
  <si>
    <t>РОЗРАХУНОК</t>
  </si>
  <si>
    <t>(без ПДВ)</t>
  </si>
  <si>
    <t xml:space="preserve"> 2018 рік</t>
  </si>
  <si>
    <t>А</t>
  </si>
  <si>
    <t>Б</t>
  </si>
  <si>
    <t>1.1.2</t>
  </si>
  <si>
    <t>    інші прямі матеріальні витрати </t>
  </si>
  <si>
    <t>єдиний внесок на загальнообов'язкове державне соціальне страхування працівників</t>
  </si>
  <si>
    <t> Фінансові витрати </t>
  </si>
  <si>
    <t xml:space="preserve"> 2019 рік</t>
  </si>
  <si>
    <t>Виробнича собівартість, усього, зокрема: </t>
  </si>
  <si>
    <t>прямі матеріальні витрати, зокрема: </t>
  </si>
  <si>
    <t>1.1.3</t>
  </si>
  <si>
    <t>прямі витрати на оплату праці </t>
  </si>
  <si>
    <t>інші прямі витрати, зокрема: </t>
  </si>
  <si>
    <t>загальновиробничі витрати </t>
  </si>
  <si>
    <t>Адміністративні витрати </t>
  </si>
  <si>
    <t>Витрати на збут </t>
  </si>
  <si>
    <t>Фінансові витрати </t>
  </si>
  <si>
    <t>тис. грн.</t>
  </si>
  <si>
    <t>ПОГОДЖЕНО</t>
  </si>
  <si>
    <t xml:space="preserve">Річний план надання послуг з централізованого водопостачання
 та централізованого водовідведення </t>
  </si>
  <si>
    <t>N з/п</t>
  </si>
  <si>
    <t>Показники </t>
  </si>
  <si>
    <t xml:space="preserve"> 2015 рік</t>
  </si>
  <si>
    <t xml:space="preserve"> 2016 рік</t>
  </si>
  <si>
    <t xml:space="preserve"> 2017 рік</t>
  </si>
  <si>
    <t>Обсяг І підйому води, усього, зокрема</t>
  </si>
  <si>
    <t>1</t>
  </si>
  <si>
    <t xml:space="preserve"> 1.1</t>
  </si>
  <si>
    <t>поверхневий водозабір</t>
  </si>
  <si>
    <t>2</t>
  </si>
  <si>
    <t>підземний водозабір</t>
  </si>
  <si>
    <t xml:space="preserve"> 1.3.</t>
  </si>
  <si>
    <t>покупна вода</t>
  </si>
  <si>
    <t>4</t>
  </si>
  <si>
    <t xml:space="preserve"> 1.4</t>
  </si>
  <si>
    <t>покупна вода в природному стані</t>
  </si>
  <si>
    <t>5</t>
  </si>
  <si>
    <t>Витрати води технологічні до ІІ підйому</t>
  </si>
  <si>
    <t>3</t>
  </si>
  <si>
    <t>Втрати води технологічні до ІІ підйому</t>
  </si>
  <si>
    <t>Обсяг реалізації води до ІІ  підйому</t>
  </si>
  <si>
    <t>8</t>
  </si>
  <si>
    <t>Подано води в мережу (II підйом), усього </t>
  </si>
  <si>
    <t xml:space="preserve"> 5.1</t>
  </si>
  <si>
    <t>у т.ч. покупна питна вода</t>
  </si>
  <si>
    <t>10</t>
  </si>
  <si>
    <t>Витрати питної води  після II підйому, усього, зокрема на потреби: </t>
  </si>
  <si>
    <t>6</t>
  </si>
  <si>
    <t>5.1 </t>
  </si>
  <si>
    <t>водопровідного господарства </t>
  </si>
  <si>
    <t>7</t>
  </si>
  <si>
    <t>каналізаційного господарства </t>
  </si>
  <si>
    <t>Втрати та не обліковані витрати питної води після ІІ підйому</t>
  </si>
  <si>
    <t>9</t>
  </si>
  <si>
    <t>Обсяг реалізації послуг з централізованого водопостачання, зокрема: </t>
  </si>
  <si>
    <t xml:space="preserve"> 7.1</t>
  </si>
  <si>
    <t>11</t>
  </si>
  <si>
    <t xml:space="preserve"> 7.2</t>
  </si>
  <si>
    <t>бюджетні установи</t>
  </si>
  <si>
    <t>12</t>
  </si>
  <si>
    <t xml:space="preserve"> 7.3</t>
  </si>
  <si>
    <t>13</t>
  </si>
  <si>
    <t>19</t>
  </si>
  <si>
    <t>Обсяг пропуску стічних вод через очисні споруди, усього </t>
  </si>
  <si>
    <t>14</t>
  </si>
  <si>
    <t xml:space="preserve"> 8.1</t>
  </si>
  <si>
    <t>       зокрема біологічна очистка стоків </t>
  </si>
  <si>
    <t>15</t>
  </si>
  <si>
    <t>Обсяг реалізації послуг з централізованого водовідведення усього, зокрема: </t>
  </si>
  <si>
    <t>16</t>
  </si>
  <si>
    <t xml:space="preserve"> 9.1</t>
  </si>
  <si>
    <t>17</t>
  </si>
  <si>
    <t xml:space="preserve"> 9.2</t>
  </si>
  <si>
    <t>18</t>
  </si>
  <si>
    <t xml:space="preserve"> 9.3</t>
  </si>
  <si>
    <t>26</t>
  </si>
  <si>
    <t>*</t>
  </si>
  <si>
    <t xml:space="preserve"> </t>
  </si>
  <si>
    <t>Ціна 1 упаковки реагенту</t>
  </si>
  <si>
    <t xml:space="preserve">інші (канцтовари, програми, банки) </t>
  </si>
  <si>
    <t xml:space="preserve">інші (канцтовари, зв'язок, банки, підписка, комп'ютори) </t>
  </si>
  <si>
    <t xml:space="preserve">інші (ремонти, ПММ, охорона праці, зв'язок, ТО)  </t>
  </si>
  <si>
    <t>А Н А Л І З</t>
  </si>
  <si>
    <t>ВИТРАТИ ЗА ЕЛЕМЕНТАМИ</t>
  </si>
  <si>
    <t xml:space="preserve">матеріальні ресурси </t>
  </si>
  <si>
    <t>амортизаційні відрахування</t>
  </si>
  <si>
    <t>інші витрати</t>
  </si>
  <si>
    <t>тис. грн </t>
  </si>
  <si>
    <t>тис.грн.</t>
  </si>
  <si>
    <t>повної собівартості та середньозваженого тарифу на послугу ЦВП та ЦВВ КП "Горянин"</t>
  </si>
  <si>
    <t>Доходи за відповідними тарифами </t>
  </si>
  <si>
    <t>Обсяг реалізованих послуг, (тис.куб.м)</t>
  </si>
  <si>
    <t>Значення, тис. куб.м</t>
  </si>
  <si>
    <r>
      <t>грн/м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> </t>
    </r>
  </si>
  <si>
    <t>на послуги з централізованого водопостачання та централізованого водовідведення
 (ЦВП та ЦВВ)</t>
  </si>
  <si>
    <t>Голова Гірської сільської ради</t>
  </si>
  <si>
    <t xml:space="preserve">амортизація  виробничих основних засобів </t>
  </si>
  <si>
    <t>Дмитрів Р.М.</t>
  </si>
  <si>
    <t>Додаток 11 до рішення виконавчого комітету сільської ради</t>
  </si>
  <si>
    <t>Додаток 15 до рішення виконавчого комітету сільської ради</t>
  </si>
  <si>
    <t xml:space="preserve">Схеми та розрахунки балансів водоспоживання, передбачені підпунктом 5 пункту 7 розділу II Порядку </t>
  </si>
  <si>
    <t xml:space="preserve">Звітність, передбачена підпунктом 12 пункту 7 розділу II Порядку </t>
  </si>
  <si>
    <t xml:space="preserve"> 2020 рік</t>
  </si>
  <si>
    <t>Середньозважений тариф на послугу централізованого водопостачання, з ПДВ</t>
  </si>
  <si>
    <t>Середньозважений тариф на послугу централізованого водовідведення, з ПДВ</t>
  </si>
  <si>
    <t>Вартість 1 м3 для споживачів з ПДВ</t>
  </si>
  <si>
    <t>Тариф електроенергії, постачання</t>
  </si>
  <si>
    <t>Тариф електроенергії, розподіл</t>
  </si>
  <si>
    <t>Коефіцієнти з колективного договору</t>
  </si>
  <si>
    <t>Дані в чинному тарифі</t>
  </si>
  <si>
    <t xml:space="preserve"> 2021 рік</t>
  </si>
  <si>
    <t>пердбачено чинним тарифом</t>
  </si>
  <si>
    <t>1,8*1,71</t>
  </si>
  <si>
    <t>фактично</t>
  </si>
  <si>
    <t xml:space="preserve">відрахування на соц.заходи </t>
  </si>
  <si>
    <t> Чистий прибуток, зокрема: обігові кошти 4%</t>
  </si>
  <si>
    <t>відхил (+.-)</t>
  </si>
  <si>
    <t>Ціна 1 л. автомобільного бензину (A-95)</t>
  </si>
  <si>
    <t>покупна вода , перекачка та очищення стоків</t>
  </si>
  <si>
    <t>послуги сторонніх підприємств з очистки стоків</t>
  </si>
  <si>
    <t>Вхідні дані для розрахунку тарифів на 2024 рік КП "Горянин"</t>
  </si>
  <si>
    <t xml:space="preserve"> 2022 р.</t>
  </si>
  <si>
    <t>Структура тарифів на послуги з централізованого водопостачання та централізованого водовідведення КП "Горянин" Гірської сільської ради, 
2024 рік</t>
  </si>
  <si>
    <t>2022 рік</t>
  </si>
  <si>
    <t xml:space="preserve">   ПЕРЕЛІК 
документів, що подаються для  встановлення  тарифів  на послуги 
централізованого водопостачання, централізованого водовідведення, 
на 2024 рік, КП "Горянин" Гірської сільської ради</t>
  </si>
  <si>
    <t>Дані для планових витрат на 2024 рік</t>
  </si>
  <si>
    <t>6 місяців 2023 рік</t>
  </si>
  <si>
    <t>Микола ДАШИВЕЦЬ</t>
  </si>
  <si>
    <t>КП  "Горянин" Гірської сільської ріди на 12 місяців 2024 року</t>
  </si>
  <si>
    <t>плановий 2024 рік</t>
  </si>
  <si>
    <t>план 2024</t>
  </si>
  <si>
    <t>факт 2022</t>
  </si>
  <si>
    <t>факт 6 місяців 2023 *2</t>
  </si>
  <si>
    <t>об’єму стоків дощових та снігових вод, плануємих для прийняття</t>
  </si>
  <si>
    <t>каналізаційною мережею КП «Горянин» Гірської сільської ради на 2024 рік</t>
  </si>
  <si>
    <t>Середньорічний об’єм поверхневих стічних вод, прийнятий каналізаційною мережею КП «Горянин» за ІІ-ге півріччя 2022 року та 1-е півріччя 2023 року році складає</t>
  </si>
  <si>
    <t>Од =</t>
  </si>
  <si>
    <t>=</t>
  </si>
  <si>
    <t xml:space="preserve">                                                                                           Директор КП “Горянин” </t>
  </si>
  <si>
    <t xml:space="preserve">                                                                                       Гірської сільської ради</t>
  </si>
  <si>
    <t xml:space="preserve">                                                                            ЗАТВЕРДЖУЮ</t>
  </si>
  <si>
    <t>Ос =</t>
  </si>
  <si>
    <t>тис.куб.м/рік;</t>
  </si>
  <si>
    <t>Ор</t>
  </si>
  <si>
    <t>+</t>
  </si>
  <si>
    <t xml:space="preserve"> тис.куб.м/рік</t>
  </si>
  <si>
    <t xml:space="preserve">     Розрахунок виконаний відповідно Правил користування системами централізованого комунального водопостачання та водовідведення в населених пунктах України, наказ Міністерства житлово-комунального господарства «України від 27.06.2008 року, № 190.</t>
  </si>
  <si>
    <t xml:space="preserve">     Середньорічний об’єм поверхневих стічних вод, що неорганізовано потрапляє в мережі водовідведення КП «Горянин» визначається за формулою</t>
  </si>
  <si>
    <t xml:space="preserve">     Характеристика кліматичних умов, метеорологічних показників, необхідних для обґрунтування й планування наведена за даними багаторічних спостережень по метеостанції «Бориспіль». Атмосферні опади: середньорічна кількість – 495 мм: в т. ч. теплий період – 348 мм, холодний – 147 мм,</t>
  </si>
  <si>
    <t xml:space="preserve">                                                                        ________________</t>
  </si>
  <si>
    <t xml:space="preserve">     де Од - середньорічний об’єм дощових вод, куб.м/рік;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</si>
  <si>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</si>
  <si>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</si>
  <si>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</si>
  <si>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</si>
  <si>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</si>
  <si>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</si>
  <si>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</si>
  <si>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</si>
  <si>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</si>
  <si>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</si>
  <si>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</si>
  <si>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</si>
  <si>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2023р
мм.</t>
  </si>
  <si>
    <t>2022р
мм.</t>
  </si>
  <si>
    <r>
      <t>О</t>
    </r>
    <r>
      <rPr>
        <strike/>
        <vertAlign val="subscript"/>
        <sz val="12"/>
        <rFont val="Calibri Light"/>
        <family val="2"/>
        <charset val="204"/>
      </rPr>
      <t>р</t>
    </r>
    <r>
      <rPr>
        <strike/>
        <sz val="12"/>
        <rFont val="Calibri Light"/>
        <family val="2"/>
        <charset val="204"/>
      </rPr>
      <t xml:space="preserve"> = Од + О</t>
    </r>
    <r>
      <rPr>
        <strike/>
        <vertAlign val="subscript"/>
        <sz val="12"/>
        <rFont val="Calibri Light"/>
        <family val="2"/>
        <charset val="204"/>
      </rPr>
      <t>с</t>
    </r>
    <r>
      <rPr>
        <strike/>
        <sz val="12"/>
        <rFont val="Calibri Light"/>
        <family val="2"/>
        <charset val="204"/>
      </rPr>
      <t>, куб.м/рік,</t>
    </r>
  </si>
  <si>
    <r>
      <t xml:space="preserve">         О</t>
    </r>
    <r>
      <rPr>
        <strike/>
        <vertAlign val="subscript"/>
        <sz val="12"/>
        <rFont val="Calibri Light"/>
        <family val="2"/>
        <charset val="204"/>
      </rPr>
      <t>с</t>
    </r>
    <r>
      <rPr>
        <strike/>
        <sz val="12"/>
        <rFont val="Calibri Light"/>
        <family val="2"/>
        <charset val="204"/>
      </rPr>
      <t xml:space="preserve"> - середньорічний об’єм снігових вод, куб.м/рік.</t>
    </r>
  </si>
  <si>
    <r>
      <t>1.</t>
    </r>
    <r>
      <rPr>
        <strike/>
        <sz val="7"/>
        <color rgb="FF000000"/>
        <rFont val="Calibri Light"/>
        <family val="2"/>
        <charset val="204"/>
      </rPr>
      <t>  </t>
    </r>
    <r>
      <rPr>
        <strike/>
        <sz val="12"/>
        <rFont val="Calibri Light"/>
        <family val="2"/>
        <charset val="204"/>
      </rPr>
      <t>Середньорічний об’єм дощових вод, Од, визначають за формулою</t>
    </r>
  </si>
  <si>
    <r>
      <t>Од = 10 Н</t>
    </r>
    <r>
      <rPr>
        <strike/>
        <vertAlign val="subscript"/>
        <sz val="12"/>
        <rFont val="Calibri Light"/>
        <family val="2"/>
        <charset val="204"/>
      </rPr>
      <t xml:space="preserve">д </t>
    </r>
    <r>
      <rPr>
        <strike/>
        <sz val="12"/>
        <rFont val="Calibri Light"/>
        <family val="2"/>
        <charset val="204"/>
      </rPr>
      <t>К</t>
    </r>
    <r>
      <rPr>
        <strike/>
        <vertAlign val="subscript"/>
        <sz val="12"/>
        <rFont val="Calibri Light"/>
        <family val="2"/>
        <charset val="204"/>
      </rPr>
      <t>д</t>
    </r>
    <r>
      <rPr>
        <strike/>
        <sz val="12"/>
        <rFont val="Calibri Light"/>
        <family val="2"/>
        <charset val="204"/>
      </rPr>
      <t xml:space="preserve"> F</t>
    </r>
    <r>
      <rPr>
        <strike/>
        <vertAlign val="subscript"/>
        <sz val="12"/>
        <rFont val="Calibri Light"/>
        <family val="2"/>
        <charset val="204"/>
      </rPr>
      <t>д</t>
    </r>
    <r>
      <rPr>
        <strike/>
        <sz val="12"/>
        <rFont val="Calibri Light"/>
        <family val="2"/>
        <charset val="204"/>
      </rPr>
      <t>, куб.м/рік</t>
    </r>
  </si>
  <si>
    <r>
      <t>де H</t>
    </r>
    <r>
      <rPr>
        <strike/>
        <vertAlign val="subscript"/>
        <sz val="12"/>
        <rFont val="Calibri Light"/>
        <family val="2"/>
        <charset val="204"/>
      </rPr>
      <t>д</t>
    </r>
    <r>
      <rPr>
        <strike/>
        <sz val="12"/>
        <rFont val="Calibri Light"/>
        <family val="2"/>
        <charset val="204"/>
      </rPr>
      <t xml:space="preserve"> — кількість опадів за теплий період року, мм.</t>
    </r>
  </si>
  <si>
    <r>
      <t>К</t>
    </r>
    <r>
      <rPr>
        <strike/>
        <vertAlign val="subscript"/>
        <sz val="12"/>
        <rFont val="Calibri Light"/>
        <family val="2"/>
        <charset val="204"/>
      </rPr>
      <t>д</t>
    </r>
    <r>
      <rPr>
        <strike/>
        <sz val="12"/>
        <rFont val="Calibri Light"/>
        <family val="2"/>
        <charset val="204"/>
      </rPr>
      <t xml:space="preserve"> - загальний коефіцієнт стоку дощових вод, для с. Гора К</t>
    </r>
    <r>
      <rPr>
        <strike/>
        <vertAlign val="subscript"/>
        <sz val="12"/>
        <rFont val="Calibri Light"/>
        <family val="2"/>
        <charset val="204"/>
      </rPr>
      <t>д</t>
    </r>
    <r>
      <rPr>
        <strike/>
        <sz val="12"/>
        <rFont val="Calibri Light"/>
        <family val="2"/>
        <charset val="204"/>
      </rPr>
      <t xml:space="preserve"> = 0,35</t>
    </r>
  </si>
  <si>
    <r>
      <t>Fд - загальна площа стоку дощових вод, для КП «Горянин» Р</t>
    </r>
    <r>
      <rPr>
        <strike/>
        <vertAlign val="subscript"/>
        <sz val="12"/>
        <rFont val="Calibri Light"/>
        <family val="2"/>
        <charset val="204"/>
      </rPr>
      <t>д</t>
    </r>
    <r>
      <rPr>
        <strike/>
        <sz val="12"/>
        <rFont val="Calibri Light"/>
        <family val="2"/>
        <charset val="204"/>
      </rPr>
      <t xml:space="preserve"> = 5730м*5м*2=5,7га;</t>
    </r>
  </si>
  <si>
    <r>
      <t>2.</t>
    </r>
    <r>
      <rPr>
        <strike/>
        <sz val="7"/>
        <color rgb="FF000000"/>
        <rFont val="Calibri Light"/>
        <family val="2"/>
        <charset val="204"/>
      </rPr>
      <t xml:space="preserve">  </t>
    </r>
    <r>
      <rPr>
        <strike/>
        <sz val="12"/>
        <rFont val="Calibri Light"/>
        <family val="2"/>
        <charset val="204"/>
      </rPr>
      <t>Середньорічний об’єм снігових вод, Ос, визначають за формулою</t>
    </r>
  </si>
  <si>
    <r>
      <t>Ос =10 Н</t>
    </r>
    <r>
      <rPr>
        <strike/>
        <vertAlign val="subscript"/>
        <sz val="12"/>
        <rFont val="Calibri Light"/>
        <family val="2"/>
        <charset val="204"/>
      </rPr>
      <t>с</t>
    </r>
    <r>
      <rPr>
        <strike/>
        <sz val="12"/>
        <rFont val="Calibri Light"/>
        <family val="2"/>
        <charset val="204"/>
      </rPr>
      <t xml:space="preserve"> К</t>
    </r>
    <r>
      <rPr>
        <strike/>
        <vertAlign val="subscript"/>
        <sz val="12"/>
        <rFont val="Calibri Light"/>
        <family val="2"/>
        <charset val="204"/>
      </rPr>
      <t>с</t>
    </r>
    <r>
      <rPr>
        <strike/>
        <sz val="12"/>
        <rFont val="Calibri Light"/>
        <family val="2"/>
        <charset val="204"/>
      </rPr>
      <t>F</t>
    </r>
    <r>
      <rPr>
        <strike/>
        <vertAlign val="subscript"/>
        <sz val="12"/>
        <rFont val="Calibri Light"/>
        <family val="2"/>
        <charset val="204"/>
      </rPr>
      <t>с</t>
    </r>
    <r>
      <rPr>
        <strike/>
        <sz val="12"/>
        <rFont val="Calibri Light"/>
        <family val="2"/>
        <charset val="204"/>
      </rPr>
      <t>, куб.м/рік</t>
    </r>
  </si>
  <si>
    <r>
      <t>де Н</t>
    </r>
    <r>
      <rPr>
        <strike/>
        <vertAlign val="subscript"/>
        <sz val="12"/>
        <rFont val="Calibri Light"/>
        <family val="2"/>
        <charset val="204"/>
      </rPr>
      <t>с</t>
    </r>
    <r>
      <rPr>
        <strike/>
        <sz val="12"/>
        <rFont val="Calibri Light"/>
        <family val="2"/>
        <charset val="204"/>
      </rPr>
      <t xml:space="preserve"> - кількість опадів за холодний період року, мм;</t>
    </r>
  </si>
  <si>
    <r>
      <rPr>
        <strike/>
        <vertAlign val="subscript"/>
        <sz val="12"/>
        <rFont val="Calibri Light"/>
        <family val="2"/>
        <charset val="204"/>
      </rPr>
      <t xml:space="preserve">       Кс</t>
    </r>
    <r>
      <rPr>
        <strike/>
        <sz val="12"/>
        <rFont val="Calibri Light"/>
        <family val="2"/>
        <charset val="204"/>
      </rPr>
      <t xml:space="preserve"> - загальний коефіцієнт стоку снігових вод дорівнює к</t>
    </r>
    <r>
      <rPr>
        <strike/>
        <vertAlign val="subscript"/>
        <sz val="12"/>
        <rFont val="Calibri Light"/>
        <family val="2"/>
        <charset val="204"/>
      </rPr>
      <t>с</t>
    </r>
    <r>
      <rPr>
        <strike/>
        <sz val="12"/>
        <rFont val="Calibri Light"/>
        <family val="2"/>
        <charset val="204"/>
      </rPr>
      <t>= 0,6;</t>
    </r>
  </si>
  <si>
    <r>
      <t xml:space="preserve">     Р</t>
    </r>
    <r>
      <rPr>
        <strike/>
        <vertAlign val="subscript"/>
        <sz val="12"/>
        <rFont val="Calibri Light"/>
        <family val="2"/>
        <charset val="204"/>
      </rPr>
      <t>с</t>
    </r>
    <r>
      <rPr>
        <strike/>
        <sz val="12"/>
        <rFont val="Calibri Light"/>
        <family val="2"/>
        <charset val="204"/>
      </rPr>
      <t xml:space="preserve"> - загальна площа стоку снігових вод, для КП «Горянин» Р</t>
    </r>
    <r>
      <rPr>
        <strike/>
        <vertAlign val="subscript"/>
        <sz val="12"/>
        <rFont val="Calibri Light"/>
        <family val="2"/>
        <charset val="204"/>
      </rPr>
      <t>с</t>
    </r>
    <r>
      <rPr>
        <strike/>
        <sz val="12"/>
        <rFont val="Calibri Light"/>
        <family val="2"/>
        <charset val="204"/>
      </rPr>
      <t xml:space="preserve"> = 5,7 га;</t>
    </r>
  </si>
  <si>
    <t>(стор.    1    -    2      )</t>
  </si>
  <si>
    <t>(стор.   3     -   37      )</t>
  </si>
  <si>
    <t>(стор.   38     -  45      )</t>
  </si>
  <si>
    <t>(стор.   46      -   46       )</t>
  </si>
  <si>
    <t>(стор.  47       -   49       )</t>
  </si>
  <si>
    <t>(стор.   50      -    75      )</t>
  </si>
  <si>
    <t>(стор.    76     -  91        )</t>
  </si>
  <si>
    <t>(стор.   92      -    101      )</t>
  </si>
  <si>
    <t>(стор.   127   -   130       )</t>
  </si>
  <si>
    <t>(стор.    102     -  126     )</t>
  </si>
  <si>
    <t>(стор.    131     -     168   )</t>
  </si>
  <si>
    <t>(стор.    -     -    -      )</t>
  </si>
  <si>
    <t>(стор.     183    -    232    )</t>
  </si>
  <si>
    <t>(стор.    250     -     369   )</t>
  </si>
  <si>
    <t>(стор.    237     -    249    )</t>
  </si>
  <si>
    <t>(стор.    236     -  236      )</t>
  </si>
  <si>
    <t>(стор.     235    -    235    )</t>
  </si>
  <si>
    <t>(стор.    233     -   234     )</t>
  </si>
  <si>
    <t>(стор.    170     -    182    )</t>
  </si>
  <si>
    <t>(стор.    169     -   169     )</t>
  </si>
  <si>
    <t>(стор.    -     -     -       )</t>
  </si>
  <si>
    <t>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</si>
</sst>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\-??_р_._-;_-@_-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%"/>
    <numFmt numFmtId="171" formatCode="0.000%"/>
    <numFmt numFmtId="172" formatCode="dd\ mmm"/>
  </numFmts>
  <fonts count="67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 CE"/>
      <family val="2"/>
      <charset val="204"/>
    </font>
    <font>
      <sz val="11"/>
      <color indexed="10"/>
      <name val="Arial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Arial Cyr"/>
      <family val="2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vertAlign val="superscript"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trike/>
      <sz val="12"/>
      <name val="Calibri Light"/>
      <family val="2"/>
      <charset val="204"/>
    </font>
    <font>
      <strike/>
      <sz val="10"/>
      <name val="Calibri Light"/>
      <family val="2"/>
      <charset val="204"/>
    </font>
    <font>
      <b/>
      <strike/>
      <sz val="12"/>
      <name val="Calibri Light"/>
      <family val="2"/>
      <charset val="204"/>
    </font>
    <font>
      <strike/>
      <vertAlign val="subscript"/>
      <sz val="12"/>
      <name val="Calibri Light"/>
      <family val="2"/>
      <charset val="204"/>
    </font>
    <font>
      <strike/>
      <sz val="13"/>
      <color rgb="FF000000"/>
      <name val="Calibri Light"/>
      <family val="2"/>
      <charset val="204"/>
    </font>
    <font>
      <strike/>
      <sz val="7"/>
      <color rgb="FF000000"/>
      <name val="Calibri Light"/>
      <family val="2"/>
      <charset val="204"/>
    </font>
    <font>
      <b/>
      <strike/>
      <sz val="10"/>
      <name val="Calibri Light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1"/>
      </patternFill>
    </fill>
    <fill>
      <patternFill patternType="solid">
        <fgColor indexed="55"/>
        <bgColor indexed="23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indexed="59"/>
      </left>
      <right/>
      <top/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 style="thin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  <diagonal/>
    </border>
    <border>
      <left/>
      <right/>
      <top style="thin">
        <color indexed="59"/>
      </top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/>
      <right style="medium">
        <color indexed="59"/>
      </right>
      <top style="thin">
        <color indexed="59"/>
      </top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59"/>
      </right>
      <top style="medium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  <diagonal/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 style="thin">
        <color indexed="8"/>
      </left>
      <right/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6" fillId="3" borderId="0" applyNumberFormat="0" applyBorder="0" applyAlignment="0" applyProtection="0"/>
    <xf numFmtId="0" fontId="7" fillId="14" borderId="1" applyNumberFormat="0" applyAlignment="0" applyProtection="0"/>
    <xf numFmtId="0" fontId="8" fillId="24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15" borderId="0" applyNumberFormat="0" applyBorder="0" applyAlignment="0" applyProtection="0"/>
    <xf numFmtId="0" fontId="56" fillId="0" borderId="0"/>
    <xf numFmtId="0" fontId="56" fillId="9" borderId="7" applyNumberFormat="0" applyAlignment="0" applyProtection="0"/>
    <xf numFmtId="0" fontId="17" fillId="14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>
      <alignment horizontal="center"/>
    </xf>
    <xf numFmtId="0" fontId="21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22" fillId="4" borderId="0" applyNumberFormat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6" fillId="0" borderId="0"/>
    <xf numFmtId="0" fontId="3" fillId="0" borderId="0"/>
    <xf numFmtId="0" fontId="56" fillId="0" borderId="0"/>
    <xf numFmtId="0" fontId="24" fillId="0" borderId="0"/>
    <xf numFmtId="0" fontId="56" fillId="0" borderId="0"/>
    <xf numFmtId="0" fontId="56" fillId="0" borderId="0"/>
    <xf numFmtId="0" fontId="56" fillId="0" borderId="0"/>
    <xf numFmtId="9" fontId="56" fillId="0" borderId="0" applyFill="0" applyBorder="0" applyAlignment="0" applyProtection="0"/>
    <xf numFmtId="9" fontId="23" fillId="0" borderId="0" applyFill="0" applyBorder="0" applyAlignment="0" applyProtection="0"/>
    <xf numFmtId="9" fontId="56" fillId="0" borderId="0" applyFill="0" applyBorder="0" applyAlignment="0" applyProtection="0"/>
    <xf numFmtId="0" fontId="25" fillId="14" borderId="8" applyNumberFormat="0" applyAlignment="0" applyProtection="0"/>
    <xf numFmtId="0" fontId="26" fillId="15" borderId="0" applyNumberFormat="0" applyBorder="0" applyAlignment="0" applyProtection="0"/>
    <xf numFmtId="164" fontId="56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</cellStyleXfs>
  <cellXfs count="376">
    <xf numFmtId="0" fontId="0" fillId="0" borderId="0" xfId="0"/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right"/>
    </xf>
    <xf numFmtId="0" fontId="29" fillId="0" borderId="0" xfId="0" applyFont="1"/>
    <xf numFmtId="0" fontId="27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3" fillId="0" borderId="0" xfId="96" applyFont="1"/>
    <xf numFmtId="0" fontId="34" fillId="0" borderId="13" xfId="96" applyFont="1" applyBorder="1" applyAlignment="1">
      <alignment horizontal="left"/>
    </xf>
    <xf numFmtId="0" fontId="35" fillId="0" borderId="13" xfId="96" applyFont="1" applyBorder="1" applyAlignment="1">
      <alignment horizontal="center"/>
    </xf>
    <xf numFmtId="0" fontId="35" fillId="0" borderId="13" xfId="96" applyFont="1" applyBorder="1" applyAlignment="1">
      <alignment horizontal="left" wrapText="1" indent="1"/>
    </xf>
    <xf numFmtId="0" fontId="23" fillId="0" borderId="13" xfId="96" applyFont="1" applyBorder="1"/>
    <xf numFmtId="0" fontId="36" fillId="0" borderId="10" xfId="96" applyFont="1" applyBorder="1" applyAlignment="1">
      <alignment horizontal="left" indent="1"/>
    </xf>
    <xf numFmtId="0" fontId="36" fillId="0" borderId="10" xfId="96" applyFont="1" applyBorder="1" applyAlignment="1">
      <alignment horizontal="center"/>
    </xf>
    <xf numFmtId="3" fontId="36" fillId="0" borderId="10" xfId="96" applyNumberFormat="1" applyFont="1" applyBorder="1" applyAlignment="1">
      <alignment horizontal="right"/>
    </xf>
    <xf numFmtId="4" fontId="36" fillId="0" borderId="10" xfId="96" applyNumberFormat="1" applyFont="1" applyBorder="1" applyAlignment="1">
      <alignment horizontal="right"/>
    </xf>
    <xf numFmtId="165" fontId="37" fillId="0" borderId="10" xfId="96" applyNumberFormat="1" applyFont="1" applyBorder="1"/>
    <xf numFmtId="2" fontId="36" fillId="0" borderId="10" xfId="96" applyNumberFormat="1" applyFont="1" applyBorder="1" applyAlignment="1">
      <alignment horizontal="right"/>
    </xf>
    <xf numFmtId="166" fontId="36" fillId="0" borderId="10" xfId="96" applyNumberFormat="1" applyFont="1" applyBorder="1" applyAlignment="1">
      <alignment horizontal="right"/>
    </xf>
    <xf numFmtId="4" fontId="36" fillId="0" borderId="10" xfId="96" applyNumberFormat="1" applyFont="1" applyBorder="1"/>
    <xf numFmtId="166" fontId="36" fillId="0" borderId="10" xfId="96" applyNumberFormat="1" applyFont="1" applyBorder="1"/>
    <xf numFmtId="0" fontId="36" fillId="0" borderId="10" xfId="96" applyFont="1" applyBorder="1" applyAlignment="1">
      <alignment horizontal="left" wrapText="1" indent="1"/>
    </xf>
    <xf numFmtId="167" fontId="36" fillId="0" borderId="10" xfId="96" applyNumberFormat="1" applyFont="1" applyBorder="1"/>
    <xf numFmtId="168" fontId="36" fillId="0" borderId="10" xfId="96" applyNumberFormat="1" applyFont="1" applyBorder="1"/>
    <xf numFmtId="166" fontId="37" fillId="0" borderId="10" xfId="96" applyNumberFormat="1" applyFont="1" applyBorder="1"/>
    <xf numFmtId="0" fontId="34" fillId="0" borderId="10" xfId="96" applyFont="1" applyBorder="1" applyAlignment="1">
      <alignment horizontal="left"/>
    </xf>
    <xf numFmtId="0" fontId="39" fillId="0" borderId="10" xfId="96" applyFont="1" applyBorder="1" applyAlignment="1">
      <alignment horizontal="center"/>
    </xf>
    <xf numFmtId="0" fontId="39" fillId="0" borderId="10" xfId="96" applyFont="1" applyBorder="1"/>
    <xf numFmtId="165" fontId="23" fillId="0" borderId="10" xfId="96" applyNumberFormat="1" applyFont="1" applyBorder="1"/>
    <xf numFmtId="0" fontId="23" fillId="0" borderId="10" xfId="96" applyFont="1" applyBorder="1"/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39" fillId="0" borderId="10" xfId="96" applyFont="1" applyBorder="1" applyAlignment="1">
      <alignment horizontal="left"/>
    </xf>
    <xf numFmtId="2" fontId="39" fillId="0" borderId="10" xfId="96" applyNumberFormat="1" applyFont="1" applyBorder="1"/>
    <xf numFmtId="2" fontId="36" fillId="0" borderId="10" xfId="96" applyNumberFormat="1" applyFont="1" applyBorder="1"/>
    <xf numFmtId="2" fontId="42" fillId="0" borderId="10" xfId="96" applyNumberFormat="1" applyFont="1" applyBorder="1"/>
    <xf numFmtId="2" fontId="39" fillId="0" borderId="10" xfId="96" applyNumberFormat="1" applyFont="1" applyBorder="1" applyAlignment="1">
      <alignment horizontal="right"/>
    </xf>
    <xf numFmtId="0" fontId="36" fillId="0" borderId="10" xfId="96" applyFont="1" applyBorder="1" applyAlignment="1">
      <alignment horizontal="left" wrapText="1"/>
    </xf>
    <xf numFmtId="0" fontId="39" fillId="0" borderId="10" xfId="96" applyFont="1" applyBorder="1" applyAlignment="1">
      <alignment horizontal="left" wrapText="1"/>
    </xf>
    <xf numFmtId="10" fontId="39" fillId="0" borderId="10" xfId="101" applyNumberFormat="1" applyFont="1" applyFill="1" applyBorder="1" applyAlignment="1" applyProtection="1"/>
    <xf numFmtId="0" fontId="33" fillId="0" borderId="10" xfId="96" applyFont="1" applyBorder="1" applyAlignment="1">
      <alignment horizontal="left"/>
    </xf>
    <xf numFmtId="0" fontId="33" fillId="0" borderId="10" xfId="96" applyFont="1" applyBorder="1" applyAlignment="1">
      <alignment horizontal="center"/>
    </xf>
    <xf numFmtId="0" fontId="33" fillId="0" borderId="10" xfId="96" applyFont="1" applyBorder="1"/>
    <xf numFmtId="0" fontId="33" fillId="0" borderId="10" xfId="96" applyFont="1" applyBorder="1" applyAlignment="1">
      <alignment horizontal="left" wrapText="1" indent="1"/>
    </xf>
    <xf numFmtId="170" fontId="39" fillId="0" borderId="10" xfId="101" applyNumberFormat="1" applyFont="1" applyFill="1" applyBorder="1" applyAlignment="1" applyProtection="1"/>
    <xf numFmtId="170" fontId="23" fillId="0" borderId="10" xfId="101" applyNumberFormat="1" applyFont="1" applyFill="1" applyBorder="1" applyAlignment="1" applyProtection="1">
      <alignment horizontal="right"/>
    </xf>
    <xf numFmtId="0" fontId="39" fillId="0" borderId="10" xfId="96" applyFont="1" applyBorder="1" applyAlignment="1">
      <alignment horizontal="left" wrapText="1" indent="1"/>
    </xf>
    <xf numFmtId="171" fontId="39" fillId="0" borderId="10" xfId="101" applyNumberFormat="1" applyFont="1" applyFill="1" applyBorder="1" applyAlignment="1" applyProtection="1">
      <alignment horizontal="right"/>
    </xf>
    <xf numFmtId="168" fontId="39" fillId="0" borderId="10" xfId="101" applyNumberFormat="1" applyFont="1" applyFill="1" applyBorder="1" applyAlignment="1" applyProtection="1">
      <alignment horizontal="center"/>
    </xf>
    <xf numFmtId="167" fontId="39" fillId="0" borderId="10" xfId="101" applyNumberFormat="1" applyFont="1" applyFill="1" applyBorder="1" applyAlignment="1" applyProtection="1">
      <alignment horizontal="center"/>
    </xf>
    <xf numFmtId="168" fontId="39" fillId="0" borderId="10" xfId="96" applyNumberFormat="1" applyFont="1" applyBorder="1" applyAlignment="1">
      <alignment horizontal="center"/>
    </xf>
    <xf numFmtId="167" fontId="39" fillId="0" borderId="10" xfId="96" applyNumberFormat="1" applyFont="1" applyBorder="1" applyAlignment="1">
      <alignment horizontal="center"/>
    </xf>
    <xf numFmtId="2" fontId="39" fillId="0" borderId="10" xfId="96" applyNumberFormat="1" applyFont="1" applyBorder="1" applyAlignment="1">
      <alignment horizontal="center"/>
    </xf>
    <xf numFmtId="166" fontId="39" fillId="0" borderId="10" xfId="96" applyNumberFormat="1" applyFont="1" applyBorder="1" applyAlignment="1">
      <alignment horizontal="center"/>
    </xf>
    <xf numFmtId="2" fontId="23" fillId="0" borderId="10" xfId="96" applyNumberFormat="1" applyFont="1" applyBorder="1"/>
    <xf numFmtId="0" fontId="39" fillId="0" borderId="10" xfId="96" applyFont="1" applyBorder="1" applyAlignment="1">
      <alignment wrapText="1"/>
    </xf>
    <xf numFmtId="0" fontId="27" fillId="15" borderId="0" xfId="96" applyFont="1" applyFill="1" applyAlignment="1">
      <alignment horizontal="center"/>
    </xf>
    <xf numFmtId="0" fontId="36" fillId="0" borderId="0" xfId="96" applyFont="1" applyAlignment="1">
      <alignment horizontal="left" indent="1"/>
    </xf>
    <xf numFmtId="0" fontId="36" fillId="0" borderId="0" xfId="96" applyFont="1" applyAlignment="1">
      <alignment horizontal="center" wrapText="1"/>
    </xf>
    <xf numFmtId="0" fontId="42" fillId="0" borderId="0" xfId="96" applyFont="1"/>
    <xf numFmtId="0" fontId="36" fillId="0" borderId="10" xfId="73" applyFont="1" applyBorder="1" applyAlignment="1">
      <alignment horizontal="right" wrapText="1"/>
    </xf>
    <xf numFmtId="0" fontId="27" fillId="0" borderId="10" xfId="73" applyFont="1" applyBorder="1" applyAlignment="1">
      <alignment wrapText="1"/>
    </xf>
    <xf numFmtId="2" fontId="36" fillId="0" borderId="10" xfId="73" applyNumberFormat="1" applyFont="1" applyBorder="1" applyAlignment="1">
      <alignment wrapText="1"/>
    </xf>
    <xf numFmtId="0" fontId="43" fillId="0" borderId="0" xfId="73" applyFont="1" applyAlignment="1">
      <alignment wrapText="1"/>
    </xf>
    <xf numFmtId="0" fontId="36" fillId="0" borderId="10" xfId="73" applyFont="1" applyBorder="1" applyAlignment="1">
      <alignment horizontal="right" vertical="center"/>
    </xf>
    <xf numFmtId="0" fontId="27" fillId="0" borderId="10" xfId="96" applyFont="1" applyBorder="1" applyAlignment="1">
      <alignment horizontal="center" vertical="center"/>
    </xf>
    <xf numFmtId="0" fontId="36" fillId="0" borderId="10" xfId="96" applyFont="1" applyBorder="1"/>
    <xf numFmtId="2" fontId="36" fillId="15" borderId="10" xfId="96" applyNumberFormat="1" applyFont="1" applyFill="1" applyBorder="1"/>
    <xf numFmtId="0" fontId="27" fillId="0" borderId="10" xfId="73" applyFont="1" applyBorder="1" applyAlignment="1">
      <alignment horizontal="center" vertical="center" wrapText="1"/>
    </xf>
    <xf numFmtId="0" fontId="36" fillId="0" borderId="10" xfId="96" applyFont="1" applyBorder="1" applyAlignment="1">
      <alignment horizontal="right"/>
    </xf>
    <xf numFmtId="0" fontId="36" fillId="0" borderId="10" xfId="73" applyFont="1" applyBorder="1" applyAlignment="1">
      <alignment horizontal="right"/>
    </xf>
    <xf numFmtId="0" fontId="27" fillId="0" borderId="10" xfId="73" applyFont="1" applyBorder="1" applyAlignment="1">
      <alignment horizontal="right"/>
    </xf>
    <xf numFmtId="2" fontId="27" fillId="0" borderId="10" xfId="96" applyNumberFormat="1" applyFont="1" applyBorder="1"/>
    <xf numFmtId="2" fontId="27" fillId="15" borderId="10" xfId="96" applyNumberFormat="1" applyFont="1" applyFill="1" applyBorder="1"/>
    <xf numFmtId="165" fontId="44" fillId="0" borderId="10" xfId="96" applyNumberFormat="1" applyFont="1" applyBorder="1"/>
    <xf numFmtId="2" fontId="44" fillId="0" borderId="10" xfId="96" applyNumberFormat="1" applyFont="1" applyBorder="1"/>
    <xf numFmtId="2" fontId="36" fillId="0" borderId="0" xfId="96" applyNumberFormat="1" applyFont="1"/>
    <xf numFmtId="0" fontId="36" fillId="0" borderId="0" xfId="96" applyFont="1"/>
    <xf numFmtId="2" fontId="36" fillId="0" borderId="10" xfId="73" applyNumberFormat="1" applyFont="1" applyBorder="1"/>
    <xf numFmtId="4" fontId="27" fillId="15" borderId="10" xfId="96" applyNumberFormat="1" applyFont="1" applyFill="1" applyBorder="1"/>
    <xf numFmtId="0" fontId="56" fillId="0" borderId="0" xfId="98"/>
    <xf numFmtId="0" fontId="45" fillId="0" borderId="0" xfId="98" applyFont="1" applyAlignment="1">
      <alignment horizontal="center" wrapText="1"/>
    </xf>
    <xf numFmtId="0" fontId="46" fillId="0" borderId="0" xfId="98" applyFont="1" applyAlignment="1">
      <alignment horizontal="right"/>
    </xf>
    <xf numFmtId="0" fontId="0" fillId="0" borderId="0" xfId="98" applyFont="1" applyAlignment="1">
      <alignment vertical="center" wrapText="1"/>
    </xf>
    <xf numFmtId="0" fontId="35" fillId="0" borderId="15" xfId="98" applyFont="1" applyBorder="1" applyAlignment="1">
      <alignment horizontal="center" vertical="center" wrapText="1"/>
    </xf>
    <xf numFmtId="0" fontId="33" fillId="0" borderId="16" xfId="98" applyFont="1" applyBorder="1" applyAlignment="1">
      <alignment vertical="center" wrapText="1"/>
    </xf>
    <xf numFmtId="49" fontId="35" fillId="0" borderId="17" xfId="98" applyNumberFormat="1" applyFont="1" applyBorder="1" applyAlignment="1">
      <alignment horizontal="center" vertical="center" wrapText="1"/>
    </xf>
    <xf numFmtId="2" fontId="27" fillId="0" borderId="18" xfId="98" applyNumberFormat="1" applyFont="1" applyBorder="1" applyAlignment="1">
      <alignment horizontal="center" vertical="center" wrapText="1"/>
    </xf>
    <xf numFmtId="165" fontId="49" fillId="0" borderId="19" xfId="98" applyNumberFormat="1" applyFont="1" applyBorder="1" applyAlignment="1">
      <alignment horizontal="right" vertical="center" wrapText="1"/>
    </xf>
    <xf numFmtId="165" fontId="50" fillId="0" borderId="0" xfId="98" applyNumberFormat="1" applyFont="1"/>
    <xf numFmtId="165" fontId="49" fillId="0" borderId="0" xfId="98" applyNumberFormat="1" applyFont="1" applyAlignment="1">
      <alignment horizontal="right" vertical="center" wrapText="1"/>
    </xf>
    <xf numFmtId="0" fontId="29" fillId="0" borderId="20" xfId="98" applyFont="1" applyBorder="1" applyAlignment="1">
      <alignment horizontal="center" vertical="center" wrapText="1"/>
    </xf>
    <xf numFmtId="0" fontId="39" fillId="0" borderId="21" xfId="98" applyFont="1" applyBorder="1" applyAlignment="1">
      <alignment vertical="center" wrapText="1"/>
    </xf>
    <xf numFmtId="49" fontId="29" fillId="0" borderId="22" xfId="98" applyNumberFormat="1" applyFont="1" applyBorder="1" applyAlignment="1">
      <alignment horizontal="center" vertical="center" wrapText="1"/>
    </xf>
    <xf numFmtId="2" fontId="36" fillId="0" borderId="23" xfId="98" applyNumberFormat="1" applyFont="1" applyBorder="1" applyAlignment="1">
      <alignment horizontal="center" vertical="center" wrapText="1"/>
    </xf>
    <xf numFmtId="165" fontId="56" fillId="0" borderId="0" xfId="98" applyNumberFormat="1"/>
    <xf numFmtId="0" fontId="39" fillId="0" borderId="21" xfId="98" applyFont="1" applyBorder="1" applyAlignment="1">
      <alignment horizontal="left" vertical="center" wrapText="1" indent="1"/>
    </xf>
    <xf numFmtId="0" fontId="39" fillId="0" borderId="24" xfId="98" applyFont="1" applyBorder="1" applyAlignment="1">
      <alignment horizontal="left" indent="1"/>
    </xf>
    <xf numFmtId="2" fontId="36" fillId="0" borderId="0" xfId="98" applyNumberFormat="1" applyFont="1" applyAlignment="1">
      <alignment horizontal="center"/>
    </xf>
    <xf numFmtId="0" fontId="33" fillId="0" borderId="21" xfId="98" applyFont="1" applyBorder="1" applyAlignment="1">
      <alignment vertical="center" wrapText="1"/>
    </xf>
    <xf numFmtId="2" fontId="27" fillId="0" borderId="23" xfId="98" applyNumberFormat="1" applyFont="1" applyBorder="1" applyAlignment="1">
      <alignment horizontal="center" vertical="center" wrapText="1"/>
    </xf>
    <xf numFmtId="0" fontId="39" fillId="0" borderId="21" xfId="98" applyFont="1" applyBorder="1" applyAlignment="1">
      <alignment horizontal="left" vertical="center" wrapText="1"/>
    </xf>
    <xf numFmtId="49" fontId="35" fillId="0" borderId="22" xfId="98" applyNumberFormat="1" applyFont="1" applyBorder="1" applyAlignment="1">
      <alignment horizontal="center" vertical="center" wrapText="1"/>
    </xf>
    <xf numFmtId="165" fontId="52" fillId="0" borderId="19" xfId="98" applyNumberFormat="1" applyFont="1" applyBorder="1" applyAlignment="1">
      <alignment horizontal="right" vertical="center" wrapText="1"/>
    </xf>
    <xf numFmtId="0" fontId="35" fillId="0" borderId="20" xfId="98" applyFont="1" applyBorder="1" applyAlignment="1">
      <alignment horizontal="center" vertical="center" wrapText="1"/>
    </xf>
    <xf numFmtId="172" fontId="29" fillId="0" borderId="20" xfId="98" applyNumberFormat="1" applyFont="1" applyBorder="1" applyAlignment="1">
      <alignment horizontal="center" vertical="center" wrapText="1"/>
    </xf>
    <xf numFmtId="165" fontId="53" fillId="0" borderId="0" xfId="98" applyNumberFormat="1" applyFont="1"/>
    <xf numFmtId="167" fontId="51" fillId="0" borderId="25" xfId="98" applyNumberFormat="1" applyFont="1" applyBorder="1" applyAlignment="1">
      <alignment horizontal="right" vertical="center" wrapText="1"/>
    </xf>
    <xf numFmtId="167" fontId="51" fillId="0" borderId="26" xfId="98" applyNumberFormat="1" applyFont="1" applyBorder="1" applyAlignment="1">
      <alignment horizontal="right" vertical="center" wrapText="1"/>
    </xf>
    <xf numFmtId="0" fontId="29" fillId="0" borderId="21" xfId="98" applyFont="1" applyBorder="1" applyAlignment="1">
      <alignment horizontal="left" vertical="center" wrapText="1"/>
    </xf>
    <xf numFmtId="0" fontId="29" fillId="0" borderId="21" xfId="98" applyFont="1" applyBorder="1" applyAlignment="1">
      <alignment horizontal="left" vertical="center" wrapText="1" indent="1"/>
    </xf>
    <xf numFmtId="0" fontId="29" fillId="0" borderId="27" xfId="98" applyFont="1" applyBorder="1" applyAlignment="1">
      <alignment horizontal="center" vertical="center" wrapText="1"/>
    </xf>
    <xf numFmtId="0" fontId="39" fillId="0" borderId="28" xfId="98" applyFont="1" applyBorder="1" applyAlignment="1">
      <alignment vertical="center" wrapText="1"/>
    </xf>
    <xf numFmtId="49" fontId="29" fillId="0" borderId="29" xfId="98" applyNumberFormat="1" applyFont="1" applyBorder="1" applyAlignment="1">
      <alignment horizontal="center" vertical="center" wrapText="1"/>
    </xf>
    <xf numFmtId="2" fontId="36" fillId="0" borderId="30" xfId="98" applyNumberFormat="1" applyFont="1" applyBorder="1" applyAlignment="1">
      <alignment horizontal="center" vertical="center" wrapText="1"/>
    </xf>
    <xf numFmtId="2" fontId="51" fillId="0" borderId="31" xfId="98" applyNumberFormat="1" applyFont="1" applyBorder="1" applyAlignment="1">
      <alignment horizontal="right" vertical="center" wrapText="1"/>
    </xf>
    <xf numFmtId="0" fontId="36" fillId="0" borderId="30" xfId="98" applyFont="1" applyBorder="1" applyAlignment="1">
      <alignment horizontal="center" vertical="center" wrapText="1"/>
    </xf>
    <xf numFmtId="2" fontId="51" fillId="0" borderId="32" xfId="98" applyNumberFormat="1" applyFont="1" applyBorder="1" applyAlignment="1">
      <alignment horizontal="right" vertical="center" wrapText="1"/>
    </xf>
    <xf numFmtId="2" fontId="56" fillId="0" borderId="0" xfId="98" applyNumberFormat="1"/>
    <xf numFmtId="0" fontId="39" fillId="0" borderId="30" xfId="98" applyFont="1" applyBorder="1" applyAlignment="1">
      <alignment vertical="center" wrapText="1"/>
    </xf>
    <xf numFmtId="49" fontId="29" fillId="0" borderId="33" xfId="98" applyNumberFormat="1" applyFont="1" applyBorder="1" applyAlignment="1">
      <alignment horizontal="center" vertical="center" wrapText="1"/>
    </xf>
    <xf numFmtId="2" fontId="36" fillId="0" borderId="34" xfId="98" applyNumberFormat="1" applyFont="1" applyBorder="1" applyAlignment="1">
      <alignment horizontal="center" vertical="center" wrapText="1"/>
    </xf>
    <xf numFmtId="0" fontId="46" fillId="0" borderId="0" xfId="98" applyFont="1" applyAlignment="1">
      <alignment horizontal="center" vertical="top" wrapText="1"/>
    </xf>
    <xf numFmtId="0" fontId="46" fillId="0" borderId="0" xfId="98" applyFont="1" applyAlignment="1">
      <alignment horizontal="right" vertical="top" wrapText="1"/>
    </xf>
    <xf numFmtId="49" fontId="46" fillId="0" borderId="0" xfId="98" applyNumberFormat="1" applyFont="1" applyAlignment="1">
      <alignment horizontal="center" vertical="top" wrapText="1"/>
    </xf>
    <xf numFmtId="166" fontId="46" fillId="0" borderId="0" xfId="98" applyNumberFormat="1" applyFont="1" applyAlignment="1">
      <alignment horizontal="center" vertical="top" wrapText="1"/>
    </xf>
    <xf numFmtId="166" fontId="56" fillId="0" borderId="0" xfId="98" applyNumberFormat="1"/>
    <xf numFmtId="165" fontId="54" fillId="0" borderId="0" xfId="98" applyNumberFormat="1" applyFont="1" applyAlignment="1">
      <alignment horizontal="center" vertical="top" wrapText="1"/>
    </xf>
    <xf numFmtId="165" fontId="46" fillId="0" borderId="0" xfId="98" applyNumberFormat="1" applyFont="1" applyAlignment="1">
      <alignment horizontal="center" vertical="top" wrapText="1"/>
    </xf>
    <xf numFmtId="0" fontId="46" fillId="0" borderId="0" xfId="98" applyFont="1" applyAlignment="1">
      <alignment vertical="top" wrapText="1"/>
    </xf>
    <xf numFmtId="0" fontId="27" fillId="0" borderId="0" xfId="98" applyFont="1" applyAlignment="1">
      <alignment horizontal="center" wrapText="1"/>
    </xf>
    <xf numFmtId="0" fontId="27" fillId="0" borderId="0" xfId="98" applyFont="1"/>
    <xf numFmtId="0" fontId="0" fillId="0" borderId="0" xfId="98" applyFont="1"/>
    <xf numFmtId="0" fontId="29" fillId="0" borderId="10" xfId="98" applyFont="1" applyBorder="1" applyAlignment="1">
      <alignment horizontal="center" vertical="top" wrapText="1"/>
    </xf>
    <xf numFmtId="0" fontId="33" fillId="0" borderId="0" xfId="98" applyFont="1"/>
    <xf numFmtId="0" fontId="56" fillId="0" borderId="0" xfId="98" applyAlignment="1">
      <alignment horizontal="center"/>
    </xf>
    <xf numFmtId="0" fontId="27" fillId="0" borderId="0" xfId="98" applyFont="1" applyAlignment="1">
      <alignment horizontal="center" vertical="top" wrapText="1"/>
    </xf>
    <xf numFmtId="0" fontId="29" fillId="0" borderId="0" xfId="98" applyFont="1"/>
    <xf numFmtId="0" fontId="36" fillId="0" borderId="0" xfId="98" applyFont="1"/>
    <xf numFmtId="0" fontId="27" fillId="0" borderId="0" xfId="98" applyFont="1" applyAlignment="1">
      <alignment horizontal="left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wrapText="1"/>
    </xf>
    <xf numFmtId="0" fontId="29" fillId="0" borderId="37" xfId="98" applyFont="1" applyBorder="1"/>
    <xf numFmtId="0" fontId="36" fillId="0" borderId="37" xfId="98" applyFont="1" applyBorder="1"/>
    <xf numFmtId="0" fontId="29" fillId="0" borderId="38" xfId="98" applyFont="1" applyBorder="1"/>
    <xf numFmtId="0" fontId="36" fillId="0" borderId="38" xfId="98" applyFont="1" applyBorder="1"/>
    <xf numFmtId="0" fontId="35" fillId="0" borderId="10" xfId="98" applyFont="1" applyBorder="1" applyAlignment="1">
      <alignment horizontal="center" vertical="top" wrapText="1"/>
    </xf>
    <xf numFmtId="0" fontId="35" fillId="0" borderId="10" xfId="98" applyFont="1" applyBorder="1" applyAlignment="1">
      <alignment horizontal="left" vertical="center" wrapText="1"/>
    </xf>
    <xf numFmtId="49" fontId="35" fillId="0" borderId="10" xfId="98" applyNumberFormat="1" applyFont="1" applyBorder="1" applyAlignment="1">
      <alignment horizontal="center" vertical="top" wrapText="1"/>
    </xf>
    <xf numFmtId="2" fontId="35" fillId="0" borderId="10" xfId="98" applyNumberFormat="1" applyFont="1" applyBorder="1" applyAlignment="1">
      <alignment horizontal="right" vertical="center" wrapText="1"/>
    </xf>
    <xf numFmtId="0" fontId="50" fillId="0" borderId="0" xfId="98" applyFont="1"/>
    <xf numFmtId="172" fontId="29" fillId="0" borderId="10" xfId="98" applyNumberFormat="1" applyFont="1" applyBorder="1" applyAlignment="1">
      <alignment horizontal="center" vertical="top" wrapText="1"/>
    </xf>
    <xf numFmtId="0" fontId="29" fillId="0" borderId="10" xfId="97" applyFont="1" applyBorder="1" applyAlignment="1">
      <alignment horizontal="left" vertical="center"/>
    </xf>
    <xf numFmtId="49" fontId="29" fillId="0" borderId="10" xfId="97" applyNumberFormat="1" applyFont="1" applyBorder="1" applyAlignment="1">
      <alignment horizontal="center"/>
    </xf>
    <xf numFmtId="1" fontId="35" fillId="0" borderId="10" xfId="98" applyNumberFormat="1" applyFont="1" applyBorder="1" applyAlignment="1">
      <alignment horizontal="right" vertical="center" wrapText="1"/>
    </xf>
    <xf numFmtId="2" fontId="29" fillId="0" borderId="10" xfId="98" applyNumberFormat="1" applyFont="1" applyBorder="1" applyAlignment="1">
      <alignment horizontal="right" vertical="center" wrapText="1"/>
    </xf>
    <xf numFmtId="0" fontId="29" fillId="0" borderId="10" xfId="97" applyFont="1" applyBorder="1" applyAlignment="1">
      <alignment horizontal="left" vertical="center" wrapText="1"/>
    </xf>
    <xf numFmtId="49" fontId="29" fillId="0" borderId="10" xfId="97" applyNumberFormat="1" applyFont="1" applyBorder="1" applyAlignment="1">
      <alignment horizontal="center" vertical="top" wrapText="1"/>
    </xf>
    <xf numFmtId="0" fontId="29" fillId="0" borderId="10" xfId="98" applyFont="1" applyBorder="1" applyAlignment="1">
      <alignment horizontal="left" vertical="center" wrapText="1"/>
    </xf>
    <xf numFmtId="49" fontId="29" fillId="0" borderId="10" xfId="98" applyNumberFormat="1" applyFont="1" applyBorder="1" applyAlignment="1">
      <alignment horizontal="center" vertical="top" wrapText="1"/>
    </xf>
    <xf numFmtId="0" fontId="29" fillId="0" borderId="10" xfId="98" applyFont="1" applyBorder="1" applyAlignment="1">
      <alignment horizontal="left" vertical="center" wrapText="1" indent="1"/>
    </xf>
    <xf numFmtId="0" fontId="36" fillId="0" borderId="0" xfId="98" applyFont="1" applyAlignment="1">
      <alignment vertical="top" wrapText="1"/>
    </xf>
    <xf numFmtId="0" fontId="31" fillId="25" borderId="10" xfId="98" applyFont="1" applyFill="1" applyBorder="1" applyAlignment="1">
      <alignment horizontal="center" vertical="center" wrapText="1"/>
    </xf>
    <xf numFmtId="0" fontId="54" fillId="25" borderId="10" xfId="98" applyFont="1" applyFill="1" applyBorder="1" applyAlignment="1">
      <alignment horizontal="center" vertical="top" wrapText="1"/>
    </xf>
    <xf numFmtId="0" fontId="54" fillId="25" borderId="10" xfId="98" applyFont="1" applyFill="1" applyBorder="1" applyAlignment="1">
      <alignment horizontal="center" vertical="center" wrapText="1"/>
    </xf>
    <xf numFmtId="0" fontId="30" fillId="25" borderId="44" xfId="98" applyFont="1" applyFill="1" applyBorder="1" applyAlignment="1">
      <alignment horizontal="center" vertical="center" wrapText="1"/>
    </xf>
    <xf numFmtId="0" fontId="30" fillId="25" borderId="45" xfId="98" applyFont="1" applyFill="1" applyBorder="1" applyAlignment="1">
      <alignment horizontal="center" vertical="center" wrapText="1"/>
    </xf>
    <xf numFmtId="0" fontId="30" fillId="25" borderId="46" xfId="98" applyFont="1" applyFill="1" applyBorder="1" applyAlignment="1">
      <alignment horizontal="center" vertical="center" wrapText="1"/>
    </xf>
    <xf numFmtId="0" fontId="30" fillId="25" borderId="41" xfId="98" applyFont="1" applyFill="1" applyBorder="1" applyAlignment="1">
      <alignment horizontal="center" vertical="center" wrapText="1"/>
    </xf>
    <xf numFmtId="0" fontId="33" fillId="25" borderId="10" xfId="96" applyFont="1" applyFill="1" applyBorder="1" applyAlignment="1">
      <alignment horizontal="center" vertical="center"/>
    </xf>
    <xf numFmtId="0" fontId="33" fillId="25" borderId="10" xfId="96" applyFont="1" applyFill="1" applyBorder="1" applyAlignment="1">
      <alignment horizontal="center" vertical="center" wrapText="1"/>
    </xf>
    <xf numFmtId="0" fontId="23" fillId="25" borderId="10" xfId="96" applyFont="1" applyFill="1" applyBorder="1" applyAlignment="1">
      <alignment horizontal="center" wrapText="1"/>
    </xf>
    <xf numFmtId="0" fontId="23" fillId="25" borderId="10" xfId="96" applyFont="1" applyFill="1" applyBorder="1" applyAlignment="1">
      <alignment horizontal="center"/>
    </xf>
    <xf numFmtId="2" fontId="29" fillId="0" borderId="0" xfId="98" applyNumberFormat="1" applyFont="1"/>
    <xf numFmtId="0" fontId="29" fillId="0" borderId="39" xfId="98" applyFont="1" applyBorder="1" applyAlignment="1">
      <alignment vertical="top" wrapText="1"/>
    </xf>
    <xf numFmtId="0" fontId="29" fillId="0" borderId="39" xfId="98" applyFont="1" applyBorder="1" applyAlignment="1">
      <alignment horizontal="left" vertical="top" wrapText="1" indent="1"/>
    </xf>
    <xf numFmtId="0" fontId="29" fillId="0" borderId="48" xfId="98" applyFont="1" applyBorder="1" applyAlignment="1">
      <alignment horizontal="left" vertical="top" wrapText="1" indent="1"/>
    </xf>
    <xf numFmtId="0" fontId="29" fillId="27" borderId="47" xfId="98" applyFont="1" applyFill="1" applyBorder="1" applyAlignment="1">
      <alignment horizontal="center" vertical="center" wrapText="1"/>
    </xf>
    <xf numFmtId="0" fontId="35" fillId="28" borderId="39" xfId="98" applyFont="1" applyFill="1" applyBorder="1" applyAlignment="1">
      <alignment vertical="top" wrapText="1"/>
    </xf>
    <xf numFmtId="2" fontId="35" fillId="28" borderId="47" xfId="98" applyNumberFormat="1" applyFont="1" applyFill="1" applyBorder="1" applyAlignment="1">
      <alignment horizontal="center" vertical="center" wrapText="1"/>
    </xf>
    <xf numFmtId="0" fontId="35" fillId="29" borderId="36" xfId="98" applyFont="1" applyFill="1" applyBorder="1" applyAlignment="1">
      <alignment vertical="center" wrapText="1"/>
    </xf>
    <xf numFmtId="2" fontId="35" fillId="29" borderId="47" xfId="98" applyNumberFormat="1" applyFont="1" applyFill="1" applyBorder="1" applyAlignment="1">
      <alignment horizontal="center" vertical="center" wrapText="1"/>
    </xf>
    <xf numFmtId="2" fontId="29" fillId="26" borderId="47" xfId="98" applyNumberFormat="1" applyFont="1" applyFill="1" applyBorder="1" applyAlignment="1">
      <alignment horizontal="center" vertical="center" wrapText="1"/>
    </xf>
    <xf numFmtId="2" fontId="29" fillId="0" borderId="47" xfId="98" applyNumberFormat="1" applyFont="1" applyBorder="1" applyAlignment="1">
      <alignment horizontal="center" vertical="center" wrapText="1"/>
    </xf>
    <xf numFmtId="0" fontId="29" fillId="0" borderId="0" xfId="98" applyFont="1" applyAlignment="1">
      <alignment horizontal="center" vertical="center"/>
    </xf>
    <xf numFmtId="2" fontId="29" fillId="0" borderId="0" xfId="98" applyNumberFormat="1" applyFont="1" applyAlignment="1">
      <alignment horizontal="center" vertical="center"/>
    </xf>
    <xf numFmtId="4" fontId="29" fillId="26" borderId="47" xfId="98" applyNumberFormat="1" applyFont="1" applyFill="1" applyBorder="1" applyAlignment="1">
      <alignment horizontal="center" vertical="center"/>
    </xf>
    <xf numFmtId="0" fontId="29" fillId="30" borderId="50" xfId="98" applyFont="1" applyFill="1" applyBorder="1"/>
    <xf numFmtId="2" fontId="29" fillId="28" borderId="50" xfId="98" applyNumberFormat="1" applyFont="1" applyFill="1" applyBorder="1" applyAlignment="1">
      <alignment horizontal="center" vertical="center"/>
    </xf>
    <xf numFmtId="0" fontId="29" fillId="0" borderId="49" xfId="98" applyFont="1" applyBorder="1" applyAlignment="1">
      <alignment horizontal="center" vertical="top" wrapText="1"/>
    </xf>
    <xf numFmtId="2" fontId="29" fillId="0" borderId="50" xfId="98" applyNumberFormat="1" applyFont="1" applyBorder="1" applyAlignment="1">
      <alignment horizontal="center" vertical="center"/>
    </xf>
    <xf numFmtId="0" fontId="29" fillId="0" borderId="52" xfId="98" applyFont="1" applyBorder="1" applyAlignment="1">
      <alignment horizontal="center" vertical="top" wrapText="1"/>
    </xf>
    <xf numFmtId="0" fontId="35" fillId="28" borderId="49" xfId="98" applyFont="1" applyFill="1" applyBorder="1" applyAlignment="1">
      <alignment horizontal="center" vertical="top" wrapText="1"/>
    </xf>
    <xf numFmtId="0" fontId="35" fillId="29" borderId="49" xfId="98" applyFont="1" applyFill="1" applyBorder="1" applyAlignment="1">
      <alignment horizontal="center" vertical="center" wrapText="1"/>
    </xf>
    <xf numFmtId="2" fontId="29" fillId="29" borderId="50" xfId="98" applyNumberFormat="1" applyFont="1" applyFill="1" applyBorder="1" applyAlignment="1">
      <alignment horizontal="center" vertical="center"/>
    </xf>
    <xf numFmtId="0" fontId="56" fillId="0" borderId="53" xfId="98" applyBorder="1"/>
    <xf numFmtId="0" fontId="56" fillId="0" borderId="54" xfId="98" applyBorder="1"/>
    <xf numFmtId="4" fontId="35" fillId="26" borderId="55" xfId="98" applyNumberFormat="1" applyFont="1" applyFill="1" applyBorder="1" applyAlignment="1">
      <alignment horizontal="center" vertical="center"/>
    </xf>
    <xf numFmtId="2" fontId="35" fillId="0" borderId="56" xfId="98" applyNumberFormat="1" applyFont="1" applyBorder="1" applyAlignment="1">
      <alignment horizontal="center" vertical="center"/>
    </xf>
    <xf numFmtId="0" fontId="56" fillId="0" borderId="57" xfId="98" applyBorder="1"/>
    <xf numFmtId="0" fontId="29" fillId="26" borderId="58" xfId="98" applyFont="1" applyFill="1" applyBorder="1" applyAlignment="1">
      <alignment horizontal="center" vertical="center"/>
    </xf>
    <xf numFmtId="2" fontId="29" fillId="0" borderId="59" xfId="98" applyNumberFormat="1" applyFont="1" applyBorder="1" applyAlignment="1">
      <alignment horizontal="center" vertical="center"/>
    </xf>
    <xf numFmtId="0" fontId="29" fillId="0" borderId="60" xfId="98" applyFont="1" applyBorder="1" applyAlignment="1">
      <alignment horizontal="center" vertical="top" wrapText="1"/>
    </xf>
    <xf numFmtId="0" fontId="35" fillId="0" borderId="61" xfId="98" applyFont="1" applyBorder="1" applyAlignment="1">
      <alignment vertical="top" wrapText="1"/>
    </xf>
    <xf numFmtId="2" fontId="35" fillId="0" borderId="55" xfId="98" applyNumberFormat="1" applyFont="1" applyBorder="1" applyAlignment="1">
      <alignment horizontal="center" vertical="center" wrapText="1"/>
    </xf>
    <xf numFmtId="2" fontId="29" fillId="0" borderId="56" xfId="98" applyNumberFormat="1" applyFont="1" applyBorder="1" applyAlignment="1">
      <alignment horizontal="center" vertical="center"/>
    </xf>
    <xf numFmtId="0" fontId="29" fillId="0" borderId="62" xfId="98" applyFont="1" applyBorder="1" applyAlignment="1">
      <alignment horizontal="right"/>
    </xf>
    <xf numFmtId="0" fontId="35" fillId="0" borderId="63" xfId="98" applyFont="1" applyBorder="1" applyAlignment="1">
      <alignment horizontal="right"/>
    </xf>
    <xf numFmtId="0" fontId="29" fillId="26" borderId="64" xfId="98" applyFont="1" applyFill="1" applyBorder="1" applyAlignment="1">
      <alignment horizontal="center" vertical="center"/>
    </xf>
    <xf numFmtId="0" fontId="29" fillId="26" borderId="65" xfId="98" applyFont="1" applyFill="1" applyBorder="1" applyAlignment="1">
      <alignment horizontal="center" vertical="center"/>
    </xf>
    <xf numFmtId="0" fontId="35" fillId="26" borderId="66" xfId="98" applyFont="1" applyFill="1" applyBorder="1" applyAlignment="1">
      <alignment horizontal="center" vertical="center"/>
    </xf>
    <xf numFmtId="0" fontId="29" fillId="27" borderId="53" xfId="98" applyFont="1" applyFill="1" applyBorder="1" applyAlignment="1">
      <alignment horizontal="center" vertical="center" wrapText="1"/>
    </xf>
    <xf numFmtId="2" fontId="35" fillId="28" borderId="53" xfId="98" applyNumberFormat="1" applyFont="1" applyFill="1" applyBorder="1" applyAlignment="1">
      <alignment horizontal="center" vertical="center" wrapText="1"/>
    </xf>
    <xf numFmtId="2" fontId="29" fillId="26" borderId="53" xfId="98" applyNumberFormat="1" applyFont="1" applyFill="1" applyBorder="1" applyAlignment="1">
      <alignment horizontal="center" vertical="center" wrapText="1"/>
    </xf>
    <xf numFmtId="2" fontId="35" fillId="29" borderId="53" xfId="98" applyNumberFormat="1" applyFont="1" applyFill="1" applyBorder="1" applyAlignment="1">
      <alignment horizontal="center" vertical="center" wrapText="1"/>
    </xf>
    <xf numFmtId="2" fontId="29" fillId="0" borderId="53" xfId="98" applyNumberFormat="1" applyFont="1" applyBorder="1" applyAlignment="1">
      <alignment horizontal="center" vertical="center" wrapText="1"/>
    </xf>
    <xf numFmtId="0" fontId="29" fillId="0" borderId="53" xfId="98" applyFont="1" applyBorder="1" applyAlignment="1">
      <alignment horizontal="center" vertical="center" wrapText="1"/>
    </xf>
    <xf numFmtId="0" fontId="29" fillId="26" borderId="57" xfId="98" applyFont="1" applyFill="1" applyBorder="1" applyAlignment="1">
      <alignment horizontal="center" vertical="center"/>
    </xf>
    <xf numFmtId="0" fontId="29" fillId="0" borderId="59" xfId="98" applyFont="1" applyBorder="1" applyAlignment="1">
      <alignment horizontal="center" vertical="center"/>
    </xf>
    <xf numFmtId="0" fontId="29" fillId="26" borderId="53" xfId="98" applyFont="1" applyFill="1" applyBorder="1" applyAlignment="1">
      <alignment horizontal="center" vertical="center"/>
    </xf>
    <xf numFmtId="0" fontId="35" fillId="26" borderId="54" xfId="98" applyFont="1" applyFill="1" applyBorder="1" applyAlignment="1">
      <alignment horizontal="center" vertical="center"/>
    </xf>
    <xf numFmtId="0" fontId="35" fillId="0" borderId="67" xfId="98" applyFont="1" applyBorder="1" applyAlignment="1">
      <alignment vertical="center"/>
    </xf>
    <xf numFmtId="0" fontId="51" fillId="27" borderId="47" xfId="98" applyFont="1" applyFill="1" applyBorder="1" applyAlignment="1">
      <alignment horizontal="center" vertical="center" wrapText="1"/>
    </xf>
    <xf numFmtId="2" fontId="51" fillId="28" borderId="47" xfId="98" applyNumberFormat="1" applyFont="1" applyFill="1" applyBorder="1" applyAlignment="1">
      <alignment horizontal="center" vertical="center" wrapText="1"/>
    </xf>
    <xf numFmtId="2" fontId="51" fillId="0" borderId="47" xfId="98" applyNumberFormat="1" applyFont="1" applyBorder="1" applyAlignment="1">
      <alignment horizontal="center" vertical="center" wrapText="1"/>
    </xf>
    <xf numFmtId="2" fontId="48" fillId="29" borderId="47" xfId="98" applyNumberFormat="1" applyFont="1" applyFill="1" applyBorder="1" applyAlignment="1">
      <alignment horizontal="center" vertical="center" wrapText="1"/>
    </xf>
    <xf numFmtId="0" fontId="48" fillId="0" borderId="55" xfId="98" applyFont="1" applyBorder="1" applyAlignment="1">
      <alignment horizontal="center" vertical="center" wrapText="1"/>
    </xf>
    <xf numFmtId="0" fontId="51" fillId="0" borderId="58" xfId="98" applyFont="1" applyBorder="1" applyAlignment="1">
      <alignment horizontal="center" vertical="center"/>
    </xf>
    <xf numFmtId="2" fontId="48" fillId="28" borderId="47" xfId="98" applyNumberFormat="1" applyFont="1" applyFill="1" applyBorder="1" applyAlignment="1">
      <alignment horizontal="center" vertical="center" wrapText="1"/>
    </xf>
    <xf numFmtId="0" fontId="51" fillId="0" borderId="55" xfId="98" applyFont="1" applyBorder="1" applyAlignment="1">
      <alignment horizontal="center" vertical="center" wrapText="1"/>
    </xf>
    <xf numFmtId="2" fontId="48" fillId="0" borderId="55" xfId="98" applyNumberFormat="1" applyFont="1" applyBorder="1" applyAlignment="1">
      <alignment horizontal="center" vertical="center" wrapText="1"/>
    </xf>
    <xf numFmtId="2" fontId="35" fillId="0" borderId="54" xfId="98" applyNumberFormat="1" applyFont="1" applyBorder="1" applyAlignment="1">
      <alignment horizontal="center" vertical="center" wrapText="1"/>
    </xf>
    <xf numFmtId="165" fontId="29" fillId="28" borderId="50" xfId="98" applyNumberFormat="1" applyFont="1" applyFill="1" applyBorder="1" applyAlignment="1">
      <alignment horizontal="center" vertical="center"/>
    </xf>
    <xf numFmtId="165" fontId="29" fillId="0" borderId="50" xfId="98" applyNumberFormat="1" applyFont="1" applyBorder="1" applyAlignment="1">
      <alignment horizontal="center" vertical="center"/>
    </xf>
    <xf numFmtId="165" fontId="29" fillId="29" borderId="50" xfId="98" applyNumberFormat="1" applyFont="1" applyFill="1" applyBorder="1" applyAlignment="1">
      <alignment horizontal="center" vertical="center"/>
    </xf>
    <xf numFmtId="1" fontId="29" fillId="28" borderId="50" xfId="98" applyNumberFormat="1" applyFont="1" applyFill="1" applyBorder="1" applyAlignment="1">
      <alignment horizontal="center" vertical="center"/>
    </xf>
    <xf numFmtId="165" fontId="35" fillId="0" borderId="50" xfId="98" applyNumberFormat="1" applyFont="1" applyBorder="1" applyAlignment="1">
      <alignment horizontal="center" vertical="center"/>
    </xf>
    <xf numFmtId="4" fontId="56" fillId="0" borderId="0" xfId="98" applyNumberFormat="1"/>
    <xf numFmtId="165" fontId="29" fillId="0" borderId="56" xfId="98" applyNumberFormat="1" applyFont="1" applyBorder="1" applyAlignment="1">
      <alignment horizontal="center" vertical="center"/>
    </xf>
    <xf numFmtId="2" fontId="29" fillId="28" borderId="53" xfId="98" applyNumberFormat="1" applyFont="1" applyFill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right" indent="1"/>
    </xf>
    <xf numFmtId="2" fontId="48" fillId="0" borderId="68" xfId="98" applyNumberFormat="1" applyFont="1" applyBorder="1" applyAlignment="1">
      <alignment horizontal="right" vertical="center" wrapText="1"/>
    </xf>
    <xf numFmtId="2" fontId="51" fillId="0" borderId="43" xfId="98" applyNumberFormat="1" applyFont="1" applyBorder="1" applyAlignment="1">
      <alignment horizontal="right" vertical="center" wrapText="1"/>
    </xf>
    <xf numFmtId="2" fontId="48" fillId="0" borderId="43" xfId="98" applyNumberFormat="1" applyFont="1" applyBorder="1" applyAlignment="1">
      <alignment horizontal="right" vertical="center" wrapText="1"/>
    </xf>
    <xf numFmtId="0" fontId="27" fillId="0" borderId="10" xfId="96" applyFont="1" applyBorder="1" applyAlignment="1">
      <alignment horizontal="left" wrapText="1" indent="1"/>
    </xf>
    <xf numFmtId="0" fontId="27" fillId="0" borderId="10" xfId="96" applyFont="1" applyBorder="1" applyAlignment="1">
      <alignment horizontal="center"/>
    </xf>
    <xf numFmtId="2" fontId="27" fillId="0" borderId="10" xfId="96" applyNumberFormat="1" applyFont="1" applyBorder="1" applyAlignment="1">
      <alignment horizontal="center"/>
    </xf>
    <xf numFmtId="166" fontId="27" fillId="0" borderId="10" xfId="96" applyNumberFormat="1" applyFont="1" applyBorder="1" applyAlignment="1">
      <alignment horizontal="center"/>
    </xf>
    <xf numFmtId="165" fontId="27" fillId="0" borderId="10" xfId="96" applyNumberFormat="1" applyFont="1" applyBorder="1"/>
    <xf numFmtId="0" fontId="27" fillId="0" borderId="10" xfId="96" applyFont="1" applyBorder="1" applyAlignment="1">
      <alignment wrapText="1"/>
    </xf>
    <xf numFmtId="4" fontId="36" fillId="26" borderId="10" xfId="96" applyNumberFormat="1" applyFont="1" applyFill="1" applyBorder="1" applyAlignment="1">
      <alignment horizontal="right"/>
    </xf>
    <xf numFmtId="166" fontId="38" fillId="26" borderId="10" xfId="96" applyNumberFormat="1" applyFont="1" applyFill="1" applyBorder="1" applyAlignment="1">
      <alignment horizontal="right"/>
    </xf>
    <xf numFmtId="2" fontId="36" fillId="26" borderId="10" xfId="96" applyNumberFormat="1" applyFont="1" applyFill="1" applyBorder="1"/>
    <xf numFmtId="2" fontId="36" fillId="26" borderId="10" xfId="96" applyNumberFormat="1" applyFont="1" applyFill="1" applyBorder="1" applyAlignment="1">
      <alignment horizontal="right"/>
    </xf>
    <xf numFmtId="169" fontId="38" fillId="26" borderId="10" xfId="96" applyNumberFormat="1" applyFont="1" applyFill="1" applyBorder="1"/>
    <xf numFmtId="0" fontId="39" fillId="26" borderId="10" xfId="96" applyFont="1" applyFill="1" applyBorder="1"/>
    <xf numFmtId="2" fontId="39" fillId="26" borderId="10" xfId="96" applyNumberFormat="1" applyFont="1" applyFill="1" applyBorder="1"/>
    <xf numFmtId="2" fontId="39" fillId="26" borderId="10" xfId="96" applyNumberFormat="1" applyFont="1" applyFill="1" applyBorder="1" applyAlignment="1">
      <alignment horizontal="right"/>
    </xf>
    <xf numFmtId="10" fontId="39" fillId="26" borderId="10" xfId="101" applyNumberFormat="1" applyFont="1" applyFill="1" applyBorder="1" applyAlignment="1" applyProtection="1"/>
    <xf numFmtId="165" fontId="33" fillId="26" borderId="10" xfId="96" applyNumberFormat="1" applyFont="1" applyFill="1" applyBorder="1"/>
    <xf numFmtId="170" fontId="39" fillId="26" borderId="10" xfId="101" applyNumberFormat="1" applyFont="1" applyFill="1" applyBorder="1" applyAlignment="1" applyProtection="1">
      <alignment horizontal="right"/>
    </xf>
    <xf numFmtId="167" fontId="39" fillId="26" borderId="10" xfId="101" applyNumberFormat="1" applyFont="1" applyFill="1" applyBorder="1" applyAlignment="1" applyProtection="1">
      <alignment horizontal="center"/>
    </xf>
    <xf numFmtId="167" fontId="39" fillId="26" borderId="10" xfId="96" applyNumberFormat="1" applyFont="1" applyFill="1" applyBorder="1" applyAlignment="1">
      <alignment horizontal="center"/>
    </xf>
    <xf numFmtId="2" fontId="27" fillId="26" borderId="10" xfId="96" applyNumberFormat="1" applyFont="1" applyFill="1" applyBorder="1" applyAlignment="1">
      <alignment horizontal="center"/>
    </xf>
    <xf numFmtId="166" fontId="51" fillId="0" borderId="43" xfId="98" applyNumberFormat="1" applyFont="1" applyBorder="1" applyAlignment="1">
      <alignment horizontal="right" vertical="center" wrapText="1"/>
    </xf>
    <xf numFmtId="167" fontId="51" fillId="0" borderId="43" xfId="98" applyNumberFormat="1" applyFont="1" applyBorder="1" applyAlignment="1">
      <alignment horizontal="right" vertical="center" wrapText="1"/>
    </xf>
    <xf numFmtId="2" fontId="51" fillId="0" borderId="58" xfId="98" applyNumberFormat="1" applyFont="1" applyBorder="1" applyAlignment="1">
      <alignment horizontal="center" vertical="center"/>
    </xf>
    <xf numFmtId="2" fontId="33" fillId="0" borderId="10" xfId="96" applyNumberFormat="1" applyFont="1" applyBorder="1"/>
    <xf numFmtId="2" fontId="27" fillId="26" borderId="10" xfId="96" applyNumberFormat="1" applyFont="1" applyFill="1" applyBorder="1"/>
    <xf numFmtId="1" fontId="42" fillId="0" borderId="10" xfId="96" applyNumberFormat="1" applyFont="1" applyBorder="1"/>
    <xf numFmtId="0" fontId="29" fillId="30" borderId="62" xfId="98" applyFont="1" applyFill="1" applyBorder="1"/>
    <xf numFmtId="165" fontId="29" fillId="28" borderId="62" xfId="98" applyNumberFormat="1" applyFont="1" applyFill="1" applyBorder="1" applyAlignment="1">
      <alignment horizontal="center" vertical="center"/>
    </xf>
    <xf numFmtId="165" fontId="29" fillId="0" borderId="62" xfId="98" applyNumberFormat="1" applyFont="1" applyBorder="1" applyAlignment="1">
      <alignment horizontal="center" vertical="center"/>
    </xf>
    <xf numFmtId="1" fontId="29" fillId="28" borderId="62" xfId="98" applyNumberFormat="1" applyFont="1" applyFill="1" applyBorder="1" applyAlignment="1">
      <alignment horizontal="center" vertical="center"/>
    </xf>
    <xf numFmtId="165" fontId="29" fillId="29" borderId="62" xfId="98" applyNumberFormat="1" applyFont="1" applyFill="1" applyBorder="1" applyAlignment="1">
      <alignment horizontal="center" vertical="center"/>
    </xf>
    <xf numFmtId="165" fontId="29" fillId="0" borderId="63" xfId="98" applyNumberFormat="1" applyFont="1" applyBorder="1" applyAlignment="1">
      <alignment horizontal="center" vertical="center"/>
    </xf>
    <xf numFmtId="0" fontId="35" fillId="30" borderId="50" xfId="98" applyFont="1" applyFill="1" applyBorder="1" applyAlignment="1">
      <alignment horizontal="center" vertical="center"/>
    </xf>
    <xf numFmtId="0" fontId="35" fillId="30" borderId="62" xfId="98" applyFont="1" applyFill="1" applyBorder="1" applyAlignment="1">
      <alignment horizontal="center" vertical="center"/>
    </xf>
    <xf numFmtId="0" fontId="35" fillId="27" borderId="53" xfId="98" applyFont="1" applyFill="1" applyBorder="1" applyAlignment="1">
      <alignment horizontal="center" vertical="center"/>
    </xf>
    <xf numFmtId="0" fontId="48" fillId="27" borderId="47" xfId="98" applyFont="1" applyFill="1" applyBorder="1" applyAlignment="1">
      <alignment horizontal="center" vertical="center"/>
    </xf>
    <xf numFmtId="0" fontId="35" fillId="27" borderId="47" xfId="98" applyFont="1" applyFill="1" applyBorder="1" applyAlignment="1">
      <alignment horizontal="center" vertical="center"/>
    </xf>
    <xf numFmtId="167" fontId="23" fillId="0" borderId="0" xfId="96" applyNumberFormat="1" applyFont="1"/>
    <xf numFmtId="165" fontId="39" fillId="0" borderId="10" xfId="96" applyNumberFormat="1" applyFont="1" applyBorder="1"/>
    <xf numFmtId="165" fontId="29" fillId="0" borderId="10" xfId="96" applyNumberFormat="1" applyFont="1" applyBorder="1"/>
    <xf numFmtId="2" fontId="29" fillId="0" borderId="10" xfId="96" applyNumberFormat="1" applyFont="1" applyBorder="1"/>
    <xf numFmtId="165" fontId="23" fillId="0" borderId="14" xfId="96" applyNumberFormat="1" applyFont="1" applyBorder="1"/>
    <xf numFmtId="2" fontId="23" fillId="0" borderId="11" xfId="96" applyNumberFormat="1" applyFont="1" applyBorder="1"/>
    <xf numFmtId="165" fontId="35" fillId="0" borderId="10" xfId="96" applyNumberFormat="1" applyFont="1" applyBorder="1"/>
    <xf numFmtId="2" fontId="35" fillId="0" borderId="10" xfId="96" applyNumberFormat="1" applyFont="1" applyBorder="1"/>
    <xf numFmtId="168" fontId="36" fillId="30" borderId="10" xfId="96" applyNumberFormat="1" applyFont="1" applyFill="1" applyBorder="1"/>
    <xf numFmtId="2" fontId="51" fillId="0" borderId="69" xfId="98" applyNumberFormat="1" applyFont="1" applyBorder="1" applyAlignment="1">
      <alignment horizontal="right" vertical="center" wrapText="1"/>
    </xf>
    <xf numFmtId="1" fontId="51" fillId="0" borderId="32" xfId="98" applyNumberFormat="1" applyFont="1" applyBorder="1" applyAlignment="1">
      <alignment horizontal="right" vertical="center" wrapText="1"/>
    </xf>
    <xf numFmtId="2" fontId="51" fillId="0" borderId="42" xfId="98" applyNumberFormat="1" applyFont="1" applyBorder="1" applyAlignment="1">
      <alignment horizontal="right" vertical="center" wrapText="1"/>
    </xf>
    <xf numFmtId="0" fontId="35" fillId="27" borderId="65" xfId="98" applyFont="1" applyFill="1" applyBorder="1" applyAlignment="1">
      <alignment horizontal="center" vertical="center"/>
    </xf>
    <xf numFmtId="0" fontId="29" fillId="27" borderId="65" xfId="98" applyFont="1" applyFill="1" applyBorder="1" applyAlignment="1">
      <alignment horizontal="center" vertical="center" wrapText="1"/>
    </xf>
    <xf numFmtId="2" fontId="35" fillId="28" borderId="65" xfId="98" applyNumberFormat="1" applyFont="1" applyFill="1" applyBorder="1" applyAlignment="1">
      <alignment horizontal="center" vertical="center" wrapText="1"/>
    </xf>
    <xf numFmtId="0" fontId="29" fillId="0" borderId="51" xfId="98" applyFont="1" applyBorder="1" applyAlignment="1">
      <alignment horizontal="center" vertical="top" wrapText="1"/>
    </xf>
    <xf numFmtId="0" fontId="29" fillId="0" borderId="40" xfId="98" applyFont="1" applyBorder="1" applyAlignment="1">
      <alignment vertical="top" wrapText="1"/>
    </xf>
    <xf numFmtId="0" fontId="46" fillId="27" borderId="47" xfId="98" applyFont="1" applyFill="1" applyBorder="1" applyAlignment="1">
      <alignment horizontal="center" vertical="center" wrapText="1"/>
    </xf>
    <xf numFmtId="0" fontId="35" fillId="28" borderId="47" xfId="98" applyFont="1" applyFill="1" applyBorder="1" applyAlignment="1">
      <alignment horizontal="center" vertical="top" wrapText="1"/>
    </xf>
    <xf numFmtId="0" fontId="35" fillId="28" borderId="47" xfId="98" applyFont="1" applyFill="1" applyBorder="1" applyAlignment="1">
      <alignment vertical="top" wrapText="1"/>
    </xf>
    <xf numFmtId="0" fontId="29" fillId="0" borderId="40" xfId="98" applyFont="1" applyBorder="1" applyAlignment="1">
      <alignment horizontal="left" vertical="top" wrapText="1" indent="1"/>
    </xf>
    <xf numFmtId="166" fontId="36" fillId="15" borderId="10" xfId="73" applyNumberFormat="1" applyFont="1" applyFill="1" applyBorder="1" applyAlignment="1">
      <alignment wrapText="1"/>
    </xf>
    <xf numFmtId="166" fontId="36" fillId="15" borderId="10" xfId="96" applyNumberFormat="1" applyFont="1" applyFill="1" applyBorder="1"/>
    <xf numFmtId="2" fontId="37" fillId="0" borderId="10" xfId="96" applyNumberFormat="1" applyFont="1" applyBorder="1"/>
    <xf numFmtId="4" fontId="35" fillId="26" borderId="47" xfId="98" applyNumberFormat="1" applyFont="1" applyFill="1" applyBorder="1" applyAlignment="1">
      <alignment horizontal="center" vertical="center"/>
    </xf>
    <xf numFmtId="2" fontId="29" fillId="26" borderId="65" xfId="98" applyNumberFormat="1" applyFont="1" applyFill="1" applyBorder="1" applyAlignment="1">
      <alignment horizontal="center" vertical="center"/>
    </xf>
    <xf numFmtId="2" fontId="35" fillId="26" borderId="66" xfId="98" applyNumberFormat="1" applyFont="1" applyFill="1" applyBorder="1" applyAlignment="1">
      <alignment horizontal="center" vertical="center"/>
    </xf>
    <xf numFmtId="0" fontId="35" fillId="27" borderId="65" xfId="98" applyFont="1" applyFill="1" applyBorder="1" applyAlignment="1">
      <alignment horizontal="center" vertical="center" wrapText="1"/>
    </xf>
    <xf numFmtId="0" fontId="48" fillId="27" borderId="47" xfId="98" applyFont="1" applyFill="1" applyBorder="1" applyAlignment="1">
      <alignment horizontal="center" vertical="center" wrapText="1"/>
    </xf>
    <xf numFmtId="0" fontId="35" fillId="27" borderId="47" xfId="98" applyFont="1" applyFill="1" applyBorder="1" applyAlignment="1">
      <alignment horizontal="center" vertical="center" wrapText="1"/>
    </xf>
    <xf numFmtId="0" fontId="35" fillId="30" borderId="50" xfId="98" applyFont="1" applyFill="1" applyBorder="1" applyAlignment="1">
      <alignment horizontal="center" vertical="center" wrapText="1"/>
    </xf>
    <xf numFmtId="0" fontId="35" fillId="30" borderId="62" xfId="98" applyFont="1" applyFill="1" applyBorder="1" applyAlignment="1">
      <alignment horizontal="center" vertical="center" wrapText="1"/>
    </xf>
    <xf numFmtId="0" fontId="35" fillId="27" borderId="53" xfId="98" applyFont="1" applyFill="1" applyBorder="1" applyAlignment="1">
      <alignment horizontal="center" vertical="center" wrapText="1"/>
    </xf>
    <xf numFmtId="2" fontId="29" fillId="26" borderId="53" xfId="98" applyNumberFormat="1" applyFont="1" applyFill="1" applyBorder="1" applyAlignment="1">
      <alignment horizontal="center" vertical="center"/>
    </xf>
    <xf numFmtId="2" fontId="48" fillId="0" borderId="0" xfId="98" applyNumberFormat="1" applyFont="1" applyAlignment="1">
      <alignment horizontal="center" vertical="center" wrapText="1"/>
    </xf>
    <xf numFmtId="2" fontId="35" fillId="0" borderId="0" xfId="98" applyNumberFormat="1" applyFont="1" applyAlignment="1">
      <alignment horizontal="center" vertical="center"/>
    </xf>
    <xf numFmtId="165" fontId="35" fillId="0" borderId="0" xfId="98" applyNumberFormat="1" applyFont="1" applyAlignment="1">
      <alignment horizontal="center" vertical="center"/>
    </xf>
    <xf numFmtId="0" fontId="35" fillId="0" borderId="0" xfId="98" applyFont="1" applyAlignment="1">
      <alignment horizontal="right"/>
    </xf>
    <xf numFmtId="0" fontId="35" fillId="0" borderId="0" xfId="98" applyFont="1" applyAlignment="1">
      <alignment horizontal="center" vertical="center"/>
    </xf>
    <xf numFmtId="4" fontId="35" fillId="0" borderId="0" xfId="98" applyNumberFormat="1" applyFont="1" applyAlignment="1">
      <alignment horizontal="center" vertical="center"/>
    </xf>
    <xf numFmtId="2" fontId="35" fillId="0" borderId="0" xfId="98" applyNumberFormat="1" applyFont="1" applyAlignment="1">
      <alignment horizontal="center" vertical="center" wrapText="1"/>
    </xf>
    <xf numFmtId="0" fontId="35" fillId="0" borderId="0" xfId="98" applyFont="1"/>
    <xf numFmtId="2" fontId="35" fillId="0" borderId="0" xfId="98" applyNumberFormat="1" applyFont="1"/>
    <xf numFmtId="0" fontId="61" fillId="0" borderId="0" xfId="0" applyFont="1"/>
    <xf numFmtId="0" fontId="62" fillId="0" borderId="0" xfId="0" applyFont="1" applyAlignment="1">
      <alignment horizontal="center" vertical="center" wrapText="1"/>
    </xf>
    <xf numFmtId="0" fontId="61" fillId="0" borderId="0" xfId="0" applyFont="1" applyAlignment="1">
      <alignment wrapText="1"/>
    </xf>
    <xf numFmtId="0" fontId="66" fillId="0" borderId="0" xfId="0" applyFont="1" applyAlignment="1">
      <alignment horizontal="center" wrapText="1"/>
    </xf>
    <xf numFmtId="2" fontId="66" fillId="0" borderId="0" xfId="0" applyNumberFormat="1" applyFont="1" applyAlignment="1">
      <alignment horizont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wrapText="1"/>
    </xf>
    <xf numFmtId="2" fontId="62" fillId="0" borderId="0" xfId="0" applyNumberFormat="1" applyFont="1" applyAlignment="1">
      <alignment horizontal="left" wrapText="1"/>
    </xf>
    <xf numFmtId="0" fontId="62" fillId="0" borderId="0" xfId="0" applyFont="1"/>
    <xf numFmtId="168" fontId="36" fillId="26" borderId="10" xfId="96" applyNumberFormat="1" applyFont="1" applyFill="1" applyBorder="1" applyAlignment="1">
      <alignment horizontal="right"/>
    </xf>
    <xf numFmtId="0" fontId="27" fillId="0" borderId="0" xfId="0" applyFont="1" applyAlignment="1">
      <alignment horizontal="center" wrapText="1"/>
    </xf>
    <xf numFmtId="0" fontId="32" fillId="0" borderId="0" xfId="96" applyFont="1" applyAlignment="1">
      <alignment horizontal="center"/>
    </xf>
    <xf numFmtId="0" fontId="32" fillId="0" borderId="17" xfId="96" applyFont="1" applyBorder="1" applyAlignment="1">
      <alignment horizontal="center" wrapText="1"/>
    </xf>
    <xf numFmtId="0" fontId="45" fillId="0" borderId="0" xfId="98" applyFont="1" applyAlignment="1">
      <alignment horizontal="center" wrapText="1"/>
    </xf>
    <xf numFmtId="0" fontId="30" fillId="25" borderId="70" xfId="98" applyFont="1" applyFill="1" applyBorder="1" applyAlignment="1">
      <alignment horizontal="center" vertical="center" wrapText="1"/>
    </xf>
    <xf numFmtId="0" fontId="30" fillId="25" borderId="44" xfId="98" applyFont="1" applyFill="1" applyBorder="1" applyAlignment="1">
      <alignment horizontal="center" vertical="center" wrapText="1"/>
    </xf>
    <xf numFmtId="0" fontId="30" fillId="25" borderId="71" xfId="98" applyFont="1" applyFill="1" applyBorder="1" applyAlignment="1">
      <alignment horizontal="center" vertical="center" wrapText="1"/>
    </xf>
    <xf numFmtId="0" fontId="30" fillId="25" borderId="72" xfId="98" applyFont="1" applyFill="1" applyBorder="1" applyAlignment="1">
      <alignment horizontal="center" vertical="center" wrapText="1"/>
    </xf>
    <xf numFmtId="0" fontId="27" fillId="0" borderId="0" xfId="98" applyFont="1" applyAlignment="1">
      <alignment horizontal="center" wrapText="1"/>
    </xf>
    <xf numFmtId="0" fontId="27" fillId="0" borderId="0" xfId="98" applyFont="1" applyAlignment="1">
      <alignment horizontal="center"/>
    </xf>
    <xf numFmtId="0" fontId="30" fillId="25" borderId="10" xfId="98" applyFont="1" applyFill="1" applyBorder="1" applyAlignment="1">
      <alignment horizontal="center" vertical="center" wrapText="1"/>
    </xf>
    <xf numFmtId="0" fontId="31" fillId="25" borderId="10" xfId="98" applyFont="1" applyFill="1" applyBorder="1" applyAlignment="1">
      <alignment horizontal="center" vertical="center" wrapText="1"/>
    </xf>
    <xf numFmtId="0" fontId="31" fillId="25" borderId="36" xfId="98" applyFont="1" applyFill="1" applyBorder="1" applyAlignment="1">
      <alignment horizontal="center" vertical="center" wrapText="1"/>
    </xf>
    <xf numFmtId="0" fontId="31" fillId="25" borderId="22" xfId="98" applyFont="1" applyFill="1" applyBorder="1" applyAlignment="1">
      <alignment horizontal="center" vertical="center" wrapText="1"/>
    </xf>
    <xf numFmtId="0" fontId="31" fillId="25" borderId="35" xfId="98" applyFont="1" applyFill="1" applyBorder="1" applyAlignment="1">
      <alignment horizontal="center" vertical="center" wrapText="1"/>
    </xf>
    <xf numFmtId="0" fontId="35" fillId="30" borderId="47" xfId="98" applyFont="1" applyFill="1" applyBorder="1" applyAlignment="1">
      <alignment horizontal="center" wrapText="1"/>
    </xf>
    <xf numFmtId="0" fontId="35" fillId="30" borderId="50" xfId="98" applyFont="1" applyFill="1" applyBorder="1" applyAlignment="1">
      <alignment horizontal="center" wrapText="1"/>
    </xf>
    <xf numFmtId="0" fontId="35" fillId="27" borderId="76" xfId="98" applyFont="1" applyFill="1" applyBorder="1" applyAlignment="1">
      <alignment horizontal="center" wrapText="1"/>
    </xf>
    <xf numFmtId="0" fontId="35" fillId="27" borderId="77" xfId="98" applyFont="1" applyFill="1" applyBorder="1" applyAlignment="1">
      <alignment horizontal="center" wrapText="1"/>
    </xf>
    <xf numFmtId="0" fontId="35" fillId="27" borderId="78" xfId="98" applyFont="1" applyFill="1" applyBorder="1" applyAlignment="1">
      <alignment horizontal="center" wrapText="1"/>
    </xf>
    <xf numFmtId="0" fontId="30" fillId="27" borderId="47" xfId="98" applyFont="1" applyFill="1" applyBorder="1" applyAlignment="1">
      <alignment horizontal="center" vertical="center" wrapText="1"/>
    </xf>
    <xf numFmtId="0" fontId="30" fillId="27" borderId="79" xfId="98" applyFont="1" applyFill="1" applyBorder="1" applyAlignment="1">
      <alignment horizontal="center" wrapText="1"/>
    </xf>
    <xf numFmtId="0" fontId="30" fillId="27" borderId="74" xfId="98" applyFont="1" applyFill="1" applyBorder="1" applyAlignment="1">
      <alignment horizontal="center" wrapText="1"/>
    </xf>
    <xf numFmtId="0" fontId="30" fillId="27" borderId="75" xfId="98" applyFont="1" applyFill="1" applyBorder="1" applyAlignment="1">
      <alignment horizontal="center" wrapText="1"/>
    </xf>
    <xf numFmtId="0" fontId="35" fillId="27" borderId="53" xfId="98" applyFont="1" applyFill="1" applyBorder="1" applyAlignment="1">
      <alignment horizontal="center" wrapText="1"/>
    </xf>
    <xf numFmtId="0" fontId="35" fillId="27" borderId="47" xfId="98" applyFont="1" applyFill="1" applyBorder="1" applyAlignment="1">
      <alignment horizontal="center" wrapText="1"/>
    </xf>
    <xf numFmtId="0" fontId="35" fillId="27" borderId="65" xfId="98" applyFont="1" applyFill="1" applyBorder="1" applyAlignment="1">
      <alignment horizontal="center" wrapText="1"/>
    </xf>
    <xf numFmtId="0" fontId="35" fillId="30" borderId="62" xfId="98" applyFont="1" applyFill="1" applyBorder="1" applyAlignment="1">
      <alignment horizontal="center" wrapText="1"/>
    </xf>
    <xf numFmtId="0" fontId="35" fillId="30" borderId="73" xfId="98" applyFont="1" applyFill="1" applyBorder="1" applyAlignment="1">
      <alignment horizontal="center" wrapText="1"/>
    </xf>
    <xf numFmtId="0" fontId="60" fillId="0" borderId="0" xfId="0" applyFont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61" fillId="0" borderId="0" xfId="0" applyFont="1" applyAlignment="1">
      <alignment horizontal="right" wrapText="1"/>
    </xf>
    <xf numFmtId="0" fontId="66" fillId="0" borderId="0" xfId="0" applyFont="1" applyAlignment="1">
      <alignment horizontal="left" wrapText="1"/>
    </xf>
  </cellXfs>
  <cellStyles count="11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Акцент1" xfId="7" xr:uid="{00000000-0005-0000-0000-000006000000}"/>
    <cellStyle name="20% - Акцент2" xfId="8" xr:uid="{00000000-0005-0000-0000-000007000000}"/>
    <cellStyle name="20% - Акцент3" xfId="9" xr:uid="{00000000-0005-0000-0000-000008000000}"/>
    <cellStyle name="20% - Акцент4" xfId="10" xr:uid="{00000000-0005-0000-0000-000009000000}"/>
    <cellStyle name="20% - Акцент5" xfId="11" xr:uid="{00000000-0005-0000-0000-00000A000000}"/>
    <cellStyle name="20% - Акцент6" xfId="12" xr:uid="{00000000-0005-0000-0000-00000B000000}"/>
    <cellStyle name="20% – Акцентування1" xfId="13" xr:uid="{00000000-0005-0000-0000-00000C000000}"/>
    <cellStyle name="20% – Акцентування2" xfId="14" xr:uid="{00000000-0005-0000-0000-00000D000000}"/>
    <cellStyle name="20% – Акцентування3" xfId="15" xr:uid="{00000000-0005-0000-0000-00000E000000}"/>
    <cellStyle name="20% – Акцентування4" xfId="16" xr:uid="{00000000-0005-0000-0000-00000F000000}"/>
    <cellStyle name="20% – Акцентування5" xfId="17" xr:uid="{00000000-0005-0000-0000-000010000000}"/>
    <cellStyle name="20% – Акцентування6" xfId="18" xr:uid="{00000000-0005-0000-0000-000011000000}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40% - Акцент1" xfId="25" xr:uid="{00000000-0005-0000-0000-000018000000}"/>
    <cellStyle name="40% - Акцент2" xfId="26" xr:uid="{00000000-0005-0000-0000-000019000000}"/>
    <cellStyle name="40% - Акцент3" xfId="27" xr:uid="{00000000-0005-0000-0000-00001A000000}"/>
    <cellStyle name="40% - Акцент4" xfId="28" xr:uid="{00000000-0005-0000-0000-00001B000000}"/>
    <cellStyle name="40% - Акцент5" xfId="29" xr:uid="{00000000-0005-0000-0000-00001C000000}"/>
    <cellStyle name="40% - Акцент6" xfId="30" xr:uid="{00000000-0005-0000-0000-00001D000000}"/>
    <cellStyle name="40% – Акцентування1" xfId="31" xr:uid="{00000000-0005-0000-0000-00001E000000}"/>
    <cellStyle name="40% – Акцентування2" xfId="32" xr:uid="{00000000-0005-0000-0000-00001F000000}"/>
    <cellStyle name="40% – Акцентування3" xfId="33" xr:uid="{00000000-0005-0000-0000-000020000000}"/>
    <cellStyle name="40% – Акцентування4" xfId="34" xr:uid="{00000000-0005-0000-0000-000021000000}"/>
    <cellStyle name="40% – Акцентування5" xfId="35" xr:uid="{00000000-0005-0000-0000-000022000000}"/>
    <cellStyle name="40% – Акцентування6" xfId="36" xr:uid="{00000000-0005-0000-0000-000023000000}"/>
    <cellStyle name="60% - Accent1" xfId="37" xr:uid="{00000000-0005-0000-0000-000024000000}"/>
    <cellStyle name="60% - Accent2" xfId="38" xr:uid="{00000000-0005-0000-0000-000025000000}"/>
    <cellStyle name="60% - Accent3" xfId="39" xr:uid="{00000000-0005-0000-0000-000026000000}"/>
    <cellStyle name="60% - Accent4" xfId="40" xr:uid="{00000000-0005-0000-0000-000027000000}"/>
    <cellStyle name="60% - Accent5" xfId="41" xr:uid="{00000000-0005-0000-0000-000028000000}"/>
    <cellStyle name="60% - Accent6" xfId="42" xr:uid="{00000000-0005-0000-0000-000029000000}"/>
    <cellStyle name="60% - Акцент1" xfId="43" xr:uid="{00000000-0005-0000-0000-00002A000000}"/>
    <cellStyle name="60% - Акцент2" xfId="44" xr:uid="{00000000-0005-0000-0000-00002B000000}"/>
    <cellStyle name="60% - Акцент3" xfId="45" xr:uid="{00000000-0005-0000-0000-00002C000000}"/>
    <cellStyle name="60% - Акцент4" xfId="46" xr:uid="{00000000-0005-0000-0000-00002D000000}"/>
    <cellStyle name="60% - Акцент5" xfId="47" xr:uid="{00000000-0005-0000-0000-00002E000000}"/>
    <cellStyle name="60% - Акцент6" xfId="48" xr:uid="{00000000-0005-0000-0000-00002F000000}"/>
    <cellStyle name="60% – Акцентування1" xfId="49" xr:uid="{00000000-0005-0000-0000-000030000000}"/>
    <cellStyle name="60% – Акцентування2" xfId="50" xr:uid="{00000000-0005-0000-0000-000031000000}"/>
    <cellStyle name="60% – Акцентування3" xfId="51" xr:uid="{00000000-0005-0000-0000-000032000000}"/>
    <cellStyle name="60% – Акцентування4" xfId="52" xr:uid="{00000000-0005-0000-0000-000033000000}"/>
    <cellStyle name="60% – Акцентування5" xfId="53" xr:uid="{00000000-0005-0000-0000-000034000000}"/>
    <cellStyle name="60% – Акцентування6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Bad 1" xfId="61" xr:uid="{00000000-0005-0000-0000-00003C000000}"/>
    <cellStyle name="Calculation" xfId="62" xr:uid="{00000000-0005-0000-0000-00003D000000}"/>
    <cellStyle name="Check Cell" xfId="63" xr:uid="{00000000-0005-0000-0000-00003E000000}"/>
    <cellStyle name="Explanatory Text" xfId="64" xr:uid="{00000000-0005-0000-0000-00003F000000}"/>
    <cellStyle name="Good 1" xfId="65" xr:uid="{00000000-0005-0000-0000-000040000000}"/>
    <cellStyle name="Heading 1 1" xfId="66" xr:uid="{00000000-0005-0000-0000-000041000000}"/>
    <cellStyle name="Heading 2 1" xfId="67" xr:uid="{00000000-0005-0000-0000-000042000000}"/>
    <cellStyle name="Heading 3" xfId="68" xr:uid="{00000000-0005-0000-0000-000043000000}"/>
    <cellStyle name="Heading 4" xfId="69" xr:uid="{00000000-0005-0000-0000-000044000000}"/>
    <cellStyle name="Input" xfId="70" xr:uid="{00000000-0005-0000-0000-000045000000}"/>
    <cellStyle name="Linked Cell" xfId="71" xr:uid="{00000000-0005-0000-0000-000046000000}"/>
    <cellStyle name="Neutral 1" xfId="72" xr:uid="{00000000-0005-0000-0000-000047000000}"/>
    <cellStyle name="Normal_Tarif_Xmelnizki" xfId="73" xr:uid="{00000000-0005-0000-0000-000048000000}"/>
    <cellStyle name="Note 1" xfId="74" xr:uid="{00000000-0005-0000-0000-000049000000}"/>
    <cellStyle name="Output" xfId="75" xr:uid="{00000000-0005-0000-0000-00004A000000}"/>
    <cellStyle name="Title" xfId="76" xr:uid="{00000000-0005-0000-0000-00004B000000}"/>
    <cellStyle name="Total" xfId="77" xr:uid="{00000000-0005-0000-0000-00004C000000}"/>
    <cellStyle name="Tytuі" xfId="78" xr:uid="{00000000-0005-0000-0000-00004D000000}"/>
    <cellStyle name="Warning Text" xfId="79" xr:uid="{00000000-0005-0000-0000-00004E000000}"/>
    <cellStyle name="Акцентування1" xfId="80" xr:uid="{00000000-0005-0000-0000-00004F000000}"/>
    <cellStyle name="Акцентування2" xfId="81" xr:uid="{00000000-0005-0000-0000-000050000000}"/>
    <cellStyle name="Акцентування3" xfId="82" xr:uid="{00000000-0005-0000-0000-000051000000}"/>
    <cellStyle name="Акцентування4" xfId="83" xr:uid="{00000000-0005-0000-0000-000052000000}"/>
    <cellStyle name="Акцентування5" xfId="84" xr:uid="{00000000-0005-0000-0000-000053000000}"/>
    <cellStyle name="Акцентування6" xfId="85" xr:uid="{00000000-0005-0000-0000-000054000000}"/>
    <cellStyle name="Добре" xfId="86" xr:uid="{00000000-0005-0000-0000-000055000000}"/>
    <cellStyle name="Звичайний 2" xfId="87" xr:uid="{00000000-0005-0000-0000-000056000000}"/>
    <cellStyle name="Обычный" xfId="0" builtinId="0"/>
    <cellStyle name="Обычный 10" xfId="108" xr:uid="{00000000-0005-0000-0000-000058000000}"/>
    <cellStyle name="Обычный 11" xfId="109" xr:uid="{00000000-0005-0000-0000-000059000000}"/>
    <cellStyle name="Обычный 2" xfId="88" xr:uid="{00000000-0005-0000-0000-00005A000000}"/>
    <cellStyle name="Обычный 2 2" xfId="89" xr:uid="{00000000-0005-0000-0000-00005B000000}"/>
    <cellStyle name="Обычный 2 2 2" xfId="90" xr:uid="{00000000-0005-0000-0000-00005C000000}"/>
    <cellStyle name="Обычный 2_f456660n138 (2)" xfId="91" xr:uid="{00000000-0005-0000-0000-00005D000000}"/>
    <cellStyle name="Обычный 3" xfId="92" xr:uid="{00000000-0005-0000-0000-00005E000000}"/>
    <cellStyle name="Обычный 4" xfId="93" xr:uid="{00000000-0005-0000-0000-00005F000000}"/>
    <cellStyle name="Обычный 5" xfId="94" xr:uid="{00000000-0005-0000-0000-000060000000}"/>
    <cellStyle name="Обычный 6" xfId="95" xr:uid="{00000000-0005-0000-0000-000061000000}"/>
    <cellStyle name="Обычный 7" xfId="105" xr:uid="{00000000-0005-0000-0000-000062000000}"/>
    <cellStyle name="Обычный 8" xfId="106" xr:uid="{00000000-0005-0000-0000-000063000000}"/>
    <cellStyle name="Обычный 9" xfId="107" xr:uid="{00000000-0005-0000-0000-000064000000}"/>
    <cellStyle name="Обычный_Tarif ЦВВ 2016" xfId="96" xr:uid="{00000000-0005-0000-0000-000065000000}"/>
    <cellStyle name="Обычный_Tarif_(2011-2014) травень" xfId="97" xr:uid="{00000000-0005-0000-0000-000066000000}"/>
    <cellStyle name="Обычный_ТАРИФИ 2013 НКРРКП" xfId="98" xr:uid="{00000000-0005-0000-0000-000067000000}"/>
    <cellStyle name="Процентный 2" xfId="99" xr:uid="{00000000-0005-0000-0000-000068000000}"/>
    <cellStyle name="Процентный 3" xfId="100" xr:uid="{00000000-0005-0000-0000-000069000000}"/>
    <cellStyle name="Процентный_Tarif ЦВВ 2016" xfId="101" xr:uid="{00000000-0005-0000-0000-00006A000000}"/>
    <cellStyle name="Результат 1" xfId="102" xr:uid="{00000000-0005-0000-0000-00006B000000}"/>
    <cellStyle name="Середній" xfId="103" xr:uid="{00000000-0005-0000-0000-00006C000000}"/>
    <cellStyle name="Финансовый 2" xfId="104" xr:uid="{00000000-0005-0000-0000-00006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DEE6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FF6D6D"/>
      <rgbColor rgb="00333399"/>
      <rgbColor rgb="00333333"/>
    </indexedColors>
    <mruColors>
      <color rgb="FFBAE2E4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&#1056;&#1086;&#1079;&#1088;&#1072;&#1093;&#1091;&#1085;&#1082;&#1080;%20&#1085;&#1072;%20&#1090;&#1072;&#1088;&#1080;&#1092;/&#1058;&#1072;&#1088;&#1080;&#1092;%202015/Tarif%20&#1062;&#1042;&#1042;(2012-2015)-2%20&#1093;&#1093;&#1093;%20(&#1040;&#1074;&#1090;&#1086;&#1089;&#1086;&#1093;&#1088;&#1072;&#1085;&#1077;&#1085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Зміст"/>
      <sheetName val="Вх.дані"/>
      <sheetName val="Тарифи звед"/>
      <sheetName val="Обсяги"/>
      <sheetName val="РП"/>
      <sheetName val="СВ вода"/>
      <sheetName val="СВ стоки"/>
      <sheetName val="ел.ен"/>
      <sheetName val="Заг.ВП"/>
      <sheetName val="Заг.ВВ"/>
      <sheetName val="Проект.тар"/>
      <sheetName val="Кошт"/>
      <sheetName val="Заг.вир"/>
      <sheetName val="Адмін"/>
      <sheetName val="Збут"/>
      <sheetName val="Інші_оп"/>
      <sheetName val="Мат"/>
      <sheetName val="ПММ"/>
      <sheetName val="Ел_енерг"/>
      <sheetName val="Аморт"/>
      <sheetName val="Немат"/>
      <sheetName val="Викор.ам"/>
      <sheetName val="Послуги"/>
      <sheetName val="Под_Збори"/>
      <sheetName val="Земля"/>
      <sheetName val="Зв_язок"/>
      <sheetName val="Опал"/>
      <sheetName val="ЗП_Вся"/>
      <sheetName val="ЗП_ВП"/>
      <sheetName val="ЗП_ВВ"/>
      <sheetName val="ЗП_Заг"/>
      <sheetName val="ЗП_Адм"/>
      <sheetName val="ЗП_Збут"/>
      <sheetName val="Штат ВП"/>
      <sheetName val="Штат ВВ"/>
      <sheetName val="Штат_1218_ 12м"/>
      <sheetName val="Чисельн"/>
      <sheetName val="Спецодяг"/>
      <sheetName val="Молоко"/>
      <sheetName val="Ремонти"/>
      <sheetName val="Фінансові витр"/>
      <sheetName val="Елем.2013"/>
      <sheetName val="Коеф.заміщ"/>
      <sheetName val="Надбав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opLeftCell="A19" workbookViewId="0">
      <selection activeCell="I12" sqref="I12"/>
    </sheetView>
  </sheetViews>
  <sheetFormatPr defaultColWidth="9" defaultRowHeight="12.75"/>
  <cols>
    <col min="1" max="1" width="3.85546875" customWidth="1"/>
    <col min="2" max="2" width="68.7109375" customWidth="1"/>
    <col min="3" max="3" width="19.42578125" customWidth="1"/>
  </cols>
  <sheetData>
    <row r="1" spans="1:3" ht="12.75" customHeight="1">
      <c r="A1" s="1"/>
      <c r="B1" s="1"/>
      <c r="C1" s="245" t="s">
        <v>288</v>
      </c>
    </row>
    <row r="2" spans="1:3" ht="65.25" customHeight="1">
      <c r="A2" s="339" t="s">
        <v>313</v>
      </c>
      <c r="B2" s="339"/>
      <c r="C2" s="339"/>
    </row>
    <row r="3" spans="1:3">
      <c r="A3" s="3"/>
      <c r="B3" s="3"/>
      <c r="C3" s="3"/>
    </row>
    <row r="4" spans="1:3" ht="29.1" customHeight="1">
      <c r="A4" s="4" t="s">
        <v>0</v>
      </c>
      <c r="B4" s="4" t="s">
        <v>1</v>
      </c>
      <c r="C4" s="5" t="s">
        <v>2</v>
      </c>
    </row>
    <row r="5" spans="1:3" ht="12.2" customHeight="1">
      <c r="A5" s="6">
        <v>1</v>
      </c>
      <c r="B5" s="7">
        <v>2</v>
      </c>
      <c r="C5" s="8">
        <v>3</v>
      </c>
    </row>
    <row r="6" spans="1:3" s="3" customFormat="1" ht="16.5" customHeight="1">
      <c r="A6" s="9">
        <v>1</v>
      </c>
      <c r="B6" s="244" t="s">
        <v>3</v>
      </c>
      <c r="C6" s="10" t="s">
        <v>366</v>
      </c>
    </row>
    <row r="7" spans="1:3" s="3" customFormat="1" ht="18" customHeight="1">
      <c r="A7" s="9">
        <v>2</v>
      </c>
      <c r="B7" s="244" t="s">
        <v>4</v>
      </c>
      <c r="C7" s="10" t="s">
        <v>367</v>
      </c>
    </row>
    <row r="8" spans="1:3" s="3" customFormat="1" ht="14.85" customHeight="1">
      <c r="A8" s="9">
        <v>3</v>
      </c>
      <c r="B8" s="244" t="s">
        <v>5</v>
      </c>
      <c r="C8" s="10" t="s">
        <v>368</v>
      </c>
    </row>
    <row r="9" spans="1:3" s="3" customFormat="1" ht="27.95" customHeight="1">
      <c r="A9" s="9">
        <v>4</v>
      </c>
      <c r="B9" s="244" t="s">
        <v>6</v>
      </c>
      <c r="C9" s="10" t="s">
        <v>369</v>
      </c>
    </row>
    <row r="10" spans="1:3" s="3" customFormat="1" ht="16.5" customHeight="1">
      <c r="A10" s="9">
        <v>5</v>
      </c>
      <c r="B10" s="244" t="s">
        <v>7</v>
      </c>
      <c r="C10" s="10" t="s">
        <v>370</v>
      </c>
    </row>
    <row r="11" spans="1:3" s="3" customFormat="1" ht="17.649999999999999" customHeight="1">
      <c r="A11" s="9">
        <v>6</v>
      </c>
      <c r="B11" s="244" t="s">
        <v>8</v>
      </c>
      <c r="C11" s="10" t="s">
        <v>371</v>
      </c>
    </row>
    <row r="12" spans="1:3" s="3" customFormat="1" ht="18.95" customHeight="1">
      <c r="A12" s="9">
        <v>7</v>
      </c>
      <c r="B12" s="244" t="s">
        <v>9</v>
      </c>
      <c r="C12" s="10" t="s">
        <v>386</v>
      </c>
    </row>
    <row r="13" spans="1:3" s="3" customFormat="1" ht="45">
      <c r="A13" s="9">
        <v>8</v>
      </c>
      <c r="B13" s="244" t="s">
        <v>10</v>
      </c>
      <c r="C13" s="10" t="s">
        <v>372</v>
      </c>
    </row>
    <row r="14" spans="1:3" s="3" customFormat="1" ht="27.95" customHeight="1">
      <c r="A14" s="9">
        <v>9</v>
      </c>
      <c r="B14" s="244" t="s">
        <v>11</v>
      </c>
      <c r="C14" s="10" t="s">
        <v>373</v>
      </c>
    </row>
    <row r="15" spans="1:3" s="3" customFormat="1" ht="31.5" customHeight="1">
      <c r="A15" s="9">
        <v>10</v>
      </c>
      <c r="B15" s="244" t="s">
        <v>12</v>
      </c>
      <c r="C15" s="10" t="s">
        <v>375</v>
      </c>
    </row>
    <row r="16" spans="1:3" s="3" customFormat="1" ht="27.95" customHeight="1">
      <c r="A16" s="9">
        <v>11</v>
      </c>
      <c r="B16" s="244" t="s">
        <v>13</v>
      </c>
      <c r="C16" s="10" t="s">
        <v>374</v>
      </c>
    </row>
    <row r="17" spans="1:3" s="3" customFormat="1" ht="20.25" customHeight="1">
      <c r="A17" s="9">
        <v>12</v>
      </c>
      <c r="B17" s="244" t="s">
        <v>14</v>
      </c>
      <c r="C17" s="10" t="s">
        <v>376</v>
      </c>
    </row>
    <row r="18" spans="1:3" s="3" customFormat="1" ht="95.25" customHeight="1">
      <c r="A18" s="9">
        <v>13</v>
      </c>
      <c r="B18" s="244" t="s">
        <v>15</v>
      </c>
      <c r="C18" s="10" t="s">
        <v>377</v>
      </c>
    </row>
    <row r="19" spans="1:3" s="3" customFormat="1" ht="30.75" customHeight="1">
      <c r="A19" s="9">
        <v>14</v>
      </c>
      <c r="B19" s="244" t="s">
        <v>16</v>
      </c>
      <c r="C19" s="10" t="s">
        <v>385</v>
      </c>
    </row>
    <row r="20" spans="1:3" s="3" customFormat="1" ht="30.75" customHeight="1">
      <c r="A20" s="9">
        <v>15</v>
      </c>
      <c r="B20" s="244" t="s">
        <v>289</v>
      </c>
      <c r="C20" s="10" t="s">
        <v>384</v>
      </c>
    </row>
    <row r="21" spans="1:3" s="3" customFormat="1" ht="35.25" customHeight="1">
      <c r="A21" s="9">
        <v>16</v>
      </c>
      <c r="B21" s="244" t="s">
        <v>17</v>
      </c>
      <c r="C21" s="10" t="s">
        <v>378</v>
      </c>
    </row>
    <row r="22" spans="1:3" s="3" customFormat="1" ht="66" customHeight="1">
      <c r="A22" s="9">
        <v>17</v>
      </c>
      <c r="B22" s="244" t="s">
        <v>18</v>
      </c>
      <c r="C22" s="10" t="s">
        <v>383</v>
      </c>
    </row>
    <row r="23" spans="1:3" s="3" customFormat="1" ht="30" customHeight="1">
      <c r="A23" s="9">
        <v>18</v>
      </c>
      <c r="B23" s="244" t="s">
        <v>19</v>
      </c>
      <c r="C23" s="10" t="s">
        <v>382</v>
      </c>
    </row>
    <row r="24" spans="1:3" s="3" customFormat="1" ht="33" customHeight="1">
      <c r="A24" s="9">
        <v>19</v>
      </c>
      <c r="B24" s="244" t="s">
        <v>20</v>
      </c>
      <c r="C24" s="10" t="s">
        <v>381</v>
      </c>
    </row>
    <row r="25" spans="1:3" s="3" customFormat="1" ht="31.5" customHeight="1">
      <c r="A25" s="9">
        <v>20</v>
      </c>
      <c r="B25" s="244" t="s">
        <v>21</v>
      </c>
      <c r="C25" s="10" t="s">
        <v>380</v>
      </c>
    </row>
    <row r="26" spans="1:3" ht="25.5" customHeight="1">
      <c r="A26" s="9">
        <v>21</v>
      </c>
      <c r="B26" s="244" t="s">
        <v>290</v>
      </c>
      <c r="C26" s="10" t="s">
        <v>379</v>
      </c>
    </row>
  </sheetData>
  <sheetProtection selectLockedCells="1" selectUnlockedCells="1"/>
  <mergeCells count="1">
    <mergeCell ref="A2:C2"/>
  </mergeCells>
  <pageMargins left="0.74791666666666667" right="0.35972222222222222" top="0.55972222222222223" bottom="0.27013888888888887" header="0.51180555555555551" footer="0.34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1"/>
  <sheetViews>
    <sheetView topLeftCell="A18" zoomScale="90" zoomScaleNormal="90" workbookViewId="0">
      <selection activeCell="B54" sqref="B54"/>
    </sheetView>
  </sheetViews>
  <sheetFormatPr defaultColWidth="9.140625" defaultRowHeight="12.75"/>
  <cols>
    <col min="1" max="1" width="56.28515625" style="11" customWidth="1"/>
    <col min="2" max="2" width="7.7109375" style="11" customWidth="1"/>
    <col min="3" max="4" width="9.140625" style="11" hidden="1" customWidth="1"/>
    <col min="5" max="5" width="11.28515625" style="11" hidden="1" customWidth="1"/>
    <col min="6" max="6" width="9.85546875" style="11" customWidth="1"/>
    <col min="7" max="8" width="10.7109375" style="11" customWidth="1"/>
    <col min="9" max="9" width="8" style="11" customWidth="1"/>
    <col min="10" max="10" width="9.140625" style="11" customWidth="1"/>
    <col min="11" max="11" width="11.42578125" style="11" customWidth="1"/>
    <col min="12" max="12" width="11.28515625" style="11" customWidth="1"/>
    <col min="13" max="16384" width="9.140625" style="11"/>
  </cols>
  <sheetData>
    <row r="1" spans="1:10" ht="22.5" customHeight="1">
      <c r="A1" s="340" t="s">
        <v>309</v>
      </c>
      <c r="B1" s="340"/>
      <c r="C1" s="340"/>
      <c r="D1" s="340"/>
      <c r="E1" s="340"/>
      <c r="F1" s="340"/>
      <c r="G1" s="340"/>
      <c r="H1" s="340"/>
    </row>
    <row r="2" spans="1:10" ht="39.75" customHeight="1">
      <c r="A2" s="341" t="s">
        <v>283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69.75" customHeight="1">
      <c r="A3" s="173" t="s">
        <v>22</v>
      </c>
      <c r="B3" s="174" t="s">
        <v>23</v>
      </c>
      <c r="C3" s="174" t="s">
        <v>24</v>
      </c>
      <c r="D3" s="174" t="s">
        <v>25</v>
      </c>
      <c r="E3" s="174" t="s">
        <v>26</v>
      </c>
      <c r="F3" s="174" t="s">
        <v>310</v>
      </c>
      <c r="G3" s="174" t="s">
        <v>298</v>
      </c>
      <c r="H3" s="174" t="s">
        <v>314</v>
      </c>
      <c r="I3" s="175" t="s">
        <v>27</v>
      </c>
      <c r="J3" s="176" t="s">
        <v>28</v>
      </c>
    </row>
    <row r="4" spans="1:10" ht="17.25" customHeight="1">
      <c r="A4" s="12" t="s">
        <v>29</v>
      </c>
      <c r="B4" s="13"/>
      <c r="C4" s="14"/>
      <c r="D4" s="14"/>
      <c r="E4" s="14"/>
      <c r="F4" s="14"/>
      <c r="G4" s="14"/>
      <c r="H4" s="14"/>
      <c r="I4" s="15"/>
      <c r="J4" s="15"/>
    </row>
    <row r="5" spans="1:10" ht="20.100000000000001" customHeight="1">
      <c r="A5" s="16" t="s">
        <v>267</v>
      </c>
      <c r="B5" s="17" t="s">
        <v>30</v>
      </c>
      <c r="C5" s="18">
        <v>4417.237629146276</v>
      </c>
      <c r="D5" s="18"/>
      <c r="E5" s="19" t="e">
        <f>#REF!</f>
        <v>#REF!</v>
      </c>
      <c r="F5" s="19" t="e">
        <f>#REF!</f>
        <v>#REF!</v>
      </c>
      <c r="G5" s="19">
        <v>1680</v>
      </c>
      <c r="H5" s="255">
        <v>1480</v>
      </c>
      <c r="I5" s="20">
        <f>H5/G5*100</f>
        <v>88.095238095238088</v>
      </c>
      <c r="J5" s="309">
        <f>H5-G5</f>
        <v>-200</v>
      </c>
    </row>
    <row r="6" spans="1:10" ht="20.100000000000001" hidden="1" customHeight="1">
      <c r="A6" s="16" t="s">
        <v>31</v>
      </c>
      <c r="B6" s="17" t="s">
        <v>30</v>
      </c>
      <c r="C6" s="21">
        <v>2522.5464511995447</v>
      </c>
      <c r="D6" s="21"/>
      <c r="E6" s="22" t="e">
        <f>#REF!</f>
        <v>#REF!</v>
      </c>
      <c r="F6" s="21" t="e">
        <f>#REF!*1000</f>
        <v>#REF!</v>
      </c>
      <c r="G6" s="22">
        <f>3509+414.48</f>
        <v>3923.48</v>
      </c>
      <c r="H6" s="256"/>
      <c r="I6" s="20">
        <f t="shared" ref="I6:I9" si="0">H6/G6*100</f>
        <v>0</v>
      </c>
      <c r="J6" s="309">
        <f t="shared" ref="J6:J9" si="1">H6-G6</f>
        <v>-3923.48</v>
      </c>
    </row>
    <row r="7" spans="1:10" ht="20.100000000000001" customHeight="1">
      <c r="A7" s="16" t="s">
        <v>306</v>
      </c>
      <c r="B7" s="17" t="s">
        <v>30</v>
      </c>
      <c r="C7" s="23">
        <v>7.7759343346140408</v>
      </c>
      <c r="D7" s="23"/>
      <c r="E7" s="24" t="e">
        <f>#REF!</f>
        <v>#REF!</v>
      </c>
      <c r="F7" s="24">
        <v>21.61</v>
      </c>
      <c r="G7" s="38">
        <f>47.66*1.031</f>
        <v>49.13745999999999</v>
      </c>
      <c r="H7" s="257">
        <v>39.25</v>
      </c>
      <c r="I7" s="20">
        <f t="shared" si="0"/>
        <v>79.877958689765421</v>
      </c>
      <c r="J7" s="309">
        <f t="shared" si="1"/>
        <v>-9.8874599999999901</v>
      </c>
    </row>
    <row r="8" spans="1:10" ht="20.100000000000001" customHeight="1">
      <c r="A8" s="16" t="s">
        <v>32</v>
      </c>
      <c r="B8" s="17" t="s">
        <v>30</v>
      </c>
      <c r="C8" s="19">
        <v>6.9844554106450474</v>
      </c>
      <c r="D8" s="19"/>
      <c r="E8" s="22" t="e">
        <f>#REF!</f>
        <v>#REF!</v>
      </c>
      <c r="F8" s="22">
        <v>20.350000000000001</v>
      </c>
      <c r="G8" s="21">
        <f>51.4*1.031</f>
        <v>52.993399999999994</v>
      </c>
      <c r="H8" s="258">
        <v>39.450000000000003</v>
      </c>
      <c r="I8" s="20">
        <f t="shared" si="0"/>
        <v>74.443232553487803</v>
      </c>
      <c r="J8" s="309">
        <f t="shared" si="1"/>
        <v>-13.543399999999991</v>
      </c>
    </row>
    <row r="9" spans="1:10" ht="20.100000000000001" customHeight="1">
      <c r="A9" s="16" t="s">
        <v>33</v>
      </c>
      <c r="B9" s="17" t="s">
        <v>30</v>
      </c>
      <c r="C9" s="19">
        <v>5.1914999999999996</v>
      </c>
      <c r="D9" s="19"/>
      <c r="E9" s="22" t="e">
        <f>#REF!</f>
        <v>#REF!</v>
      </c>
      <c r="F9" s="22">
        <v>10.69</v>
      </c>
      <c r="G9" s="21">
        <f>33.64*1.031</f>
        <v>34.682839999999999</v>
      </c>
      <c r="H9" s="258">
        <v>25</v>
      </c>
      <c r="I9" s="20">
        <f t="shared" si="0"/>
        <v>72.081755703973499</v>
      </c>
      <c r="J9" s="309">
        <f t="shared" si="1"/>
        <v>-9.6828399999999988</v>
      </c>
    </row>
    <row r="10" spans="1:10" ht="20.100000000000001" hidden="1" customHeight="1">
      <c r="A10" s="16" t="s">
        <v>34</v>
      </c>
      <c r="B10" s="17" t="s">
        <v>30</v>
      </c>
      <c r="C10" s="23">
        <v>13.1</v>
      </c>
      <c r="D10" s="23"/>
      <c r="E10" s="22" t="e">
        <f>#REF!</f>
        <v>#REF!</v>
      </c>
      <c r="F10" s="22" t="e">
        <f>#REF!</f>
        <v>#REF!</v>
      </c>
      <c r="G10" s="21" t="e">
        <f>E10</f>
        <v>#REF!</v>
      </c>
      <c r="H10" s="258"/>
      <c r="I10" s="20" t="e">
        <f t="shared" ref="I10:I13" si="2">H10/G10*100</f>
        <v>#REF!</v>
      </c>
      <c r="J10" s="309" t="e">
        <f t="shared" ref="J10:J13" si="3">H10-G10</f>
        <v>#REF!</v>
      </c>
    </row>
    <row r="11" spans="1:10" ht="20.100000000000001" customHeight="1">
      <c r="A11" s="25" t="s">
        <v>295</v>
      </c>
      <c r="B11" s="17" t="s">
        <v>30</v>
      </c>
      <c r="C11" s="22"/>
      <c r="D11" s="22"/>
      <c r="E11" s="26"/>
      <c r="F11" s="26" t="e">
        <f>#REF!</f>
        <v>#REF!</v>
      </c>
      <c r="G11" s="27">
        <v>4.7874999999999996</v>
      </c>
      <c r="H11" s="338">
        <v>6.1156100000000002</v>
      </c>
      <c r="I11" s="20">
        <f>(H11+H12)/G11*100</f>
        <v>127.74120104438644</v>
      </c>
      <c r="J11" s="309">
        <f>H11+H12-G11</f>
        <v>1.3281100000000006</v>
      </c>
    </row>
    <row r="12" spans="1:10" ht="20.100000000000001" customHeight="1">
      <c r="A12" s="25" t="s">
        <v>296</v>
      </c>
      <c r="B12" s="17" t="s">
        <v>30</v>
      </c>
      <c r="C12" s="22"/>
      <c r="D12" s="22"/>
      <c r="E12" s="26"/>
      <c r="F12" s="27">
        <f>0.75479</f>
        <v>0.75478999999999996</v>
      </c>
      <c r="G12" s="27"/>
      <c r="H12" s="294"/>
      <c r="I12" s="20"/>
      <c r="J12" s="28">
        <f>H12+H13-G12</f>
        <v>0</v>
      </c>
    </row>
    <row r="13" spans="1:10" ht="20.100000000000001" hidden="1" customHeight="1">
      <c r="A13" s="25" t="s">
        <v>35</v>
      </c>
      <c r="B13" s="17" t="s">
        <v>30</v>
      </c>
      <c r="C13" s="22"/>
      <c r="D13" s="22"/>
      <c r="E13" s="26" t="e">
        <f>#REF!</f>
        <v>#REF!</v>
      </c>
      <c r="F13" s="26">
        <v>0.15714</v>
      </c>
      <c r="G13" s="27">
        <v>6.88E-2</v>
      </c>
      <c r="H13" s="259"/>
      <c r="I13" s="20">
        <f t="shared" si="2"/>
        <v>0</v>
      </c>
      <c r="J13" s="28">
        <f t="shared" si="3"/>
        <v>-6.88E-2</v>
      </c>
    </row>
    <row r="14" spans="1:10" ht="15" customHeight="1">
      <c r="A14" s="29" t="s">
        <v>36</v>
      </c>
      <c r="B14" s="30"/>
      <c r="C14" s="31"/>
      <c r="D14" s="31"/>
      <c r="E14" s="31"/>
      <c r="F14" s="31"/>
      <c r="G14" s="31"/>
      <c r="H14" s="260"/>
      <c r="I14" s="32"/>
      <c r="J14" s="33"/>
    </row>
    <row r="15" spans="1:10" ht="27.75" hidden="1" customHeight="1">
      <c r="A15" s="34" t="s">
        <v>37</v>
      </c>
      <c r="B15" s="30"/>
      <c r="C15" s="31"/>
      <c r="D15" s="31"/>
      <c r="E15" s="31" t="e">
        <f>#REF!</f>
        <v>#REF!</v>
      </c>
      <c r="F15" s="31"/>
      <c r="G15" s="31">
        <v>0.73</v>
      </c>
      <c r="H15" s="260">
        <v>0.82</v>
      </c>
      <c r="I15" s="32">
        <f t="shared" ref="I15:I20" si="4">H15/G15*100</f>
        <v>112.32876712328768</v>
      </c>
      <c r="J15" s="33"/>
    </row>
    <row r="16" spans="1:10" ht="27.75" hidden="1" customHeight="1">
      <c r="A16" s="34" t="s">
        <v>38</v>
      </c>
      <c r="B16" s="30"/>
      <c r="C16" s="31"/>
      <c r="D16" s="31"/>
      <c r="E16" s="31" t="e">
        <f>#REF!</f>
        <v>#REF!</v>
      </c>
      <c r="F16" s="31"/>
      <c r="G16" s="31">
        <v>0.24</v>
      </c>
      <c r="H16" s="260">
        <v>0.33</v>
      </c>
      <c r="I16" s="32">
        <f t="shared" si="4"/>
        <v>137.50000000000003</v>
      </c>
      <c r="J16" s="33"/>
    </row>
    <row r="17" spans="1:12" ht="22.5" customHeight="1">
      <c r="A17" s="35" t="s">
        <v>39</v>
      </c>
      <c r="B17" s="36" t="s">
        <v>40</v>
      </c>
      <c r="C17" s="31"/>
      <c r="D17" s="31"/>
      <c r="E17" s="37">
        <f>РП!F27</f>
        <v>38.749999999999993</v>
      </c>
      <c r="F17" s="272">
        <f>РП!H27</f>
        <v>58.370000000000005</v>
      </c>
      <c r="G17" s="76" t="e">
        <f>#REF!</f>
        <v>#REF!</v>
      </c>
      <c r="H17" s="273" t="e">
        <f>#REF!</f>
        <v>#REF!</v>
      </c>
      <c r="I17" s="78" t="e">
        <f>H17/G17*100</f>
        <v>#REF!</v>
      </c>
      <c r="J17" s="79" t="e">
        <f>H17-G17</f>
        <v>#REF!</v>
      </c>
    </row>
    <row r="18" spans="1:12" ht="22.5" customHeight="1">
      <c r="A18" s="35" t="s">
        <v>41</v>
      </c>
      <c r="B18" s="36" t="s">
        <v>40</v>
      </c>
      <c r="C18" s="31"/>
      <c r="D18" s="31"/>
      <c r="E18" s="37">
        <f>РП!F34</f>
        <v>0</v>
      </c>
      <c r="F18" s="272">
        <f>РП!H34</f>
        <v>7.92</v>
      </c>
      <c r="G18" s="76" t="e">
        <f>#REF!</f>
        <v>#REF!</v>
      </c>
      <c r="H18" s="273" t="e">
        <f>#REF!</f>
        <v>#REF!</v>
      </c>
      <c r="I18" s="78" t="e">
        <f>H18/G18*100</f>
        <v>#REF!</v>
      </c>
      <c r="J18" s="79" t="e">
        <f>H18-G18</f>
        <v>#REF!</v>
      </c>
    </row>
    <row r="19" spans="1:12" ht="18.75" customHeight="1">
      <c r="A19" s="29" t="s">
        <v>42</v>
      </c>
      <c r="B19" s="30" t="s">
        <v>30</v>
      </c>
      <c r="C19" s="31">
        <v>960</v>
      </c>
      <c r="D19" s="31">
        <v>960</v>
      </c>
      <c r="E19" s="31">
        <v>1218</v>
      </c>
      <c r="F19" s="31">
        <f>ROUND((2270*6+2379*5+2481)/12,0)</f>
        <v>2333</v>
      </c>
      <c r="G19" s="31">
        <v>2684</v>
      </c>
      <c r="H19" s="261">
        <v>3028</v>
      </c>
      <c r="I19" s="32">
        <f t="shared" si="4"/>
        <v>112.8166915052161</v>
      </c>
      <c r="J19" s="274">
        <f>H19-G19</f>
        <v>344</v>
      </c>
    </row>
    <row r="20" spans="1:12" ht="18.75" hidden="1" customHeight="1">
      <c r="A20" s="29" t="s">
        <v>43</v>
      </c>
      <c r="B20" s="30"/>
      <c r="C20" s="31"/>
      <c r="D20" s="31"/>
      <c r="E20" s="37">
        <v>7.3</v>
      </c>
      <c r="F20" s="37">
        <v>10.050000000000001</v>
      </c>
      <c r="G20" s="37">
        <f>ROUND(G19/G25,2)</f>
        <v>15.48</v>
      </c>
      <c r="H20" s="261">
        <f>ROUND(H19/H25,2)</f>
        <v>17.34</v>
      </c>
      <c r="I20" s="32">
        <f t="shared" si="4"/>
        <v>112.01550387596899</v>
      </c>
      <c r="J20" s="39">
        <f>H20-G20</f>
        <v>1.8599999999999994</v>
      </c>
    </row>
    <row r="21" spans="1:12" ht="22.5" customHeight="1">
      <c r="A21" s="29" t="s">
        <v>297</v>
      </c>
      <c r="B21" s="30"/>
      <c r="C21" s="31"/>
      <c r="D21" s="31"/>
      <c r="E21" s="37" t="s">
        <v>44</v>
      </c>
      <c r="F21" s="40" t="s">
        <v>45</v>
      </c>
      <c r="G21" s="40" t="s">
        <v>301</v>
      </c>
      <c r="H21" s="262" t="s">
        <v>301</v>
      </c>
      <c r="I21" s="32">
        <f>(1.8*1.71)/(1.8*1.71)*100</f>
        <v>100</v>
      </c>
      <c r="J21" s="39"/>
    </row>
    <row r="22" spans="1:12" ht="45.75" hidden="1" customHeight="1">
      <c r="A22" s="41" t="s">
        <v>46</v>
      </c>
      <c r="B22" s="30"/>
      <c r="C22" s="31"/>
      <c r="D22" s="31"/>
      <c r="E22" s="37">
        <v>1.35</v>
      </c>
      <c r="F22" s="37">
        <v>1.5</v>
      </c>
      <c r="G22" s="37">
        <v>1.58</v>
      </c>
      <c r="H22" s="261">
        <v>1.58</v>
      </c>
      <c r="I22" s="32">
        <f>H22/G22*100</f>
        <v>100</v>
      </c>
      <c r="J22" s="39">
        <f>H22-G22</f>
        <v>0</v>
      </c>
    </row>
    <row r="23" spans="1:12" ht="49.5" hidden="1" customHeight="1">
      <c r="A23" s="41" t="s">
        <v>47</v>
      </c>
      <c r="B23" s="30"/>
      <c r="C23" s="31"/>
      <c r="D23" s="31"/>
      <c r="E23" s="37" t="e">
        <f>E20*E21*E22</f>
        <v>#VALUE!</v>
      </c>
      <c r="F23" s="37"/>
      <c r="G23" s="37"/>
      <c r="H23" s="261"/>
      <c r="I23" s="32" t="e">
        <f>H23/G23*100</f>
        <v>#DIV/0!</v>
      </c>
      <c r="J23" s="39">
        <f>H23-G23</f>
        <v>0</v>
      </c>
    </row>
    <row r="24" spans="1:12" ht="33" hidden="1" customHeight="1">
      <c r="A24" s="42" t="s">
        <v>48</v>
      </c>
      <c r="B24" s="30" t="s">
        <v>49</v>
      </c>
      <c r="C24" s="43">
        <v>0.37869999999999998</v>
      </c>
      <c r="D24" s="43">
        <v>0.37869999999999998</v>
      </c>
      <c r="E24" s="43">
        <v>0.22</v>
      </c>
      <c r="F24" s="43">
        <v>0.22</v>
      </c>
      <c r="G24" s="43">
        <v>0.22</v>
      </c>
      <c r="H24" s="263">
        <v>0.22</v>
      </c>
      <c r="I24" s="32"/>
      <c r="J24" s="33"/>
    </row>
    <row r="25" spans="1:12" ht="19.5" customHeight="1">
      <c r="A25" s="36" t="s">
        <v>50</v>
      </c>
      <c r="B25" s="30" t="s">
        <v>51</v>
      </c>
      <c r="C25" s="31">
        <v>167</v>
      </c>
      <c r="D25" s="31">
        <v>166.9</v>
      </c>
      <c r="E25" s="31">
        <v>166.3</v>
      </c>
      <c r="F25" s="287">
        <f>1987/12</f>
        <v>165.58333333333334</v>
      </c>
      <c r="G25" s="31">
        <v>173.33</v>
      </c>
      <c r="H25" s="261">
        <f>2096/12</f>
        <v>174.66666666666666</v>
      </c>
      <c r="I25" s="32">
        <f>H25/G25*100</f>
        <v>100.77116867632068</v>
      </c>
      <c r="J25" s="33"/>
    </row>
    <row r="26" spans="1:12" ht="18" hidden="1" customHeight="1">
      <c r="A26" s="44" t="s">
        <v>52</v>
      </c>
      <c r="B26" s="45"/>
      <c r="C26" s="46"/>
      <c r="D26" s="46"/>
      <c r="E26" s="46"/>
      <c r="F26" s="46"/>
      <c r="G26" s="46"/>
      <c r="H26" s="264"/>
      <c r="I26" s="32" t="e">
        <f>H26/G26*100</f>
        <v>#DIV/0!</v>
      </c>
      <c r="J26" s="33"/>
    </row>
    <row r="27" spans="1:12" ht="18" hidden="1" customHeight="1">
      <c r="A27" s="47" t="s">
        <v>53</v>
      </c>
      <c r="B27" s="30"/>
      <c r="C27" s="48"/>
      <c r="D27" s="48"/>
      <c r="E27" s="48"/>
      <c r="F27" s="48"/>
      <c r="G27" s="48"/>
      <c r="H27" s="265"/>
      <c r="I27" s="33"/>
      <c r="J27" s="49"/>
    </row>
    <row r="28" spans="1:12" ht="30" customHeight="1">
      <c r="A28" s="50" t="s">
        <v>54</v>
      </c>
      <c r="B28" s="30"/>
      <c r="C28" s="51"/>
      <c r="D28" s="52" t="e">
        <f>(#REF!+#REF!+#REF!)/(#REF!+#REF!+#REF!+#REF!+#REF!+#REF!)</f>
        <v>#REF!</v>
      </c>
      <c r="E28" s="53" t="e">
        <f>(#REF!+#REF!+#REF!)/(#REF!+#REF!+#REF!+#REF!+#REF!+#REF!)</f>
        <v>#REF!</v>
      </c>
      <c r="F28" s="53" t="e">
        <f>(#REF!+#REF!+#REF!)/(#REF!+#REF!+#REF!+#REF!+#REF!+#REF!)</f>
        <v>#REF!</v>
      </c>
      <c r="G28" s="53">
        <v>0.67658997346673611</v>
      </c>
      <c r="H28" s="266" t="e">
        <f>#REF!</f>
        <v>#REF!</v>
      </c>
      <c r="I28" s="33"/>
      <c r="J28" s="33"/>
    </row>
    <row r="29" spans="1:12" ht="30" customHeight="1">
      <c r="A29" s="50" t="s">
        <v>55</v>
      </c>
      <c r="B29" s="30"/>
      <c r="C29" s="30"/>
      <c r="D29" s="54" t="e">
        <f>1-D28</f>
        <v>#REF!</v>
      </c>
      <c r="E29" s="55" t="e">
        <f>1-E28</f>
        <v>#REF!</v>
      </c>
      <c r="F29" s="55" t="e">
        <f>1-F28</f>
        <v>#REF!</v>
      </c>
      <c r="G29" s="55">
        <v>0.32341002653326389</v>
      </c>
      <c r="H29" s="267" t="e">
        <f>1-H28</f>
        <v>#REF!</v>
      </c>
      <c r="I29" s="33"/>
      <c r="J29" s="33"/>
    </row>
    <row r="30" spans="1:12" ht="29.25" customHeight="1">
      <c r="A30" s="50" t="s">
        <v>56</v>
      </c>
      <c r="B30" s="30"/>
      <c r="C30" s="30"/>
      <c r="D30" s="54" t="e">
        <f>#REF!/(#REF!+#REF!)</f>
        <v>#REF!</v>
      </c>
      <c r="E30" s="55" t="e">
        <f>#REF!/(#REF!+#REF!)</f>
        <v>#REF!</v>
      </c>
      <c r="F30" s="55" t="e">
        <f>#REF!/(#REF!+#REF!)</f>
        <v>#REF!</v>
      </c>
      <c r="G30" s="55">
        <v>0.69469836865949541</v>
      </c>
      <c r="H30" s="267" t="e">
        <f>#REF!</f>
        <v>#REF!</v>
      </c>
      <c r="I30" s="33"/>
      <c r="J30" s="33"/>
    </row>
    <row r="31" spans="1:12" ht="28.5" customHeight="1">
      <c r="A31" s="50" t="s">
        <v>57</v>
      </c>
      <c r="B31" s="30"/>
      <c r="C31" s="30"/>
      <c r="D31" s="54" t="e">
        <f>1-D30</f>
        <v>#REF!</v>
      </c>
      <c r="E31" s="55" t="e">
        <f>1-E30</f>
        <v>#REF!</v>
      </c>
      <c r="F31" s="55" t="e">
        <f>1-F30</f>
        <v>#REF!</v>
      </c>
      <c r="G31" s="55">
        <v>0.30530163134050459</v>
      </c>
      <c r="H31" s="267" t="e">
        <f>1-H30</f>
        <v>#REF!</v>
      </c>
      <c r="I31" s="33"/>
      <c r="J31" s="33"/>
    </row>
    <row r="32" spans="1:12" ht="35.25" customHeight="1">
      <c r="A32" s="249" t="s">
        <v>292</v>
      </c>
      <c r="B32" s="250" t="s">
        <v>58</v>
      </c>
      <c r="C32" s="250"/>
      <c r="D32" s="251" t="e">
        <f>#REF!*1.2</f>
        <v>#REF!</v>
      </c>
      <c r="E32" s="252" t="e">
        <f>#REF!*1.2</f>
        <v>#REF!</v>
      </c>
      <c r="F32" s="252" t="e">
        <f>#REF!*1.2</f>
        <v>#REF!</v>
      </c>
      <c r="G32" s="251" t="e">
        <f>#REF!*1.2</f>
        <v>#REF!</v>
      </c>
      <c r="H32" s="268" t="e">
        <f>ROUND(Структ!E50,2)</f>
        <v>#REF!</v>
      </c>
      <c r="I32" s="253" t="e">
        <f>H32/G32*100</f>
        <v>#REF!</v>
      </c>
      <c r="J32" s="76" t="e">
        <f>H32-G32</f>
        <v>#REF!</v>
      </c>
      <c r="L32" s="286" t="e">
        <f>Структ!E42</f>
        <v>#REF!</v>
      </c>
    </row>
    <row r="33" spans="1:12" ht="33.75" customHeight="1">
      <c r="A33" s="249" t="s">
        <v>293</v>
      </c>
      <c r="B33" s="250" t="s">
        <v>58</v>
      </c>
      <c r="C33" s="250"/>
      <c r="D33" s="251" t="e">
        <f>#REF!*1.2</f>
        <v>#REF!</v>
      </c>
      <c r="E33" s="252" t="e">
        <f>#REF!*1.2</f>
        <v>#REF!</v>
      </c>
      <c r="F33" s="252" t="e">
        <f>#REF!*1.2</f>
        <v>#REF!</v>
      </c>
      <c r="G33" s="251" t="e">
        <f>#REF!*1.2</f>
        <v>#REF!</v>
      </c>
      <c r="H33" s="268" t="e">
        <f>ROUND(Структ!H50,2)</f>
        <v>#REF!</v>
      </c>
      <c r="I33" s="253" t="e">
        <f>H33/G33*100</f>
        <v>#REF!</v>
      </c>
      <c r="J33" s="76" t="e">
        <f>H33-G33</f>
        <v>#REF!</v>
      </c>
      <c r="L33" s="286" t="e">
        <f>Структ!H36</f>
        <v>#REF!</v>
      </c>
    </row>
    <row r="34" spans="1:12" ht="29.25" customHeight="1">
      <c r="A34" s="254" t="s">
        <v>294</v>
      </c>
      <c r="B34" s="250"/>
      <c r="C34" s="250"/>
      <c r="D34" s="251" t="e">
        <f>SUM(D32:D33)</f>
        <v>#REF!</v>
      </c>
      <c r="E34" s="252" t="e">
        <f>SUM(E32:E33)</f>
        <v>#REF!</v>
      </c>
      <c r="F34" s="252" t="e">
        <f>SUM(F32:F33)</f>
        <v>#REF!</v>
      </c>
      <c r="G34" s="251" t="e">
        <f>SUM(G32:G33)</f>
        <v>#REF!</v>
      </c>
      <c r="H34" s="268" t="e">
        <f>SUM(H32:H33)</f>
        <v>#REF!</v>
      </c>
      <c r="I34" s="253" t="e">
        <f>H34/G34*100</f>
        <v>#REF!</v>
      </c>
      <c r="J34" s="76" t="e">
        <f>H34-G34</f>
        <v>#REF!</v>
      </c>
    </row>
    <row r="35" spans="1:12" ht="21.75" hidden="1" customHeight="1">
      <c r="A35" s="59" t="s">
        <v>59</v>
      </c>
      <c r="B35" s="30">
        <v>0</v>
      </c>
      <c r="C35" s="30"/>
      <c r="D35" s="56"/>
      <c r="E35" s="57"/>
      <c r="F35" s="57"/>
      <c r="G35" s="56" t="e">
        <f>G34*B35</f>
        <v>#REF!</v>
      </c>
      <c r="H35" s="56" t="e">
        <f>H34*B35</f>
        <v>#REF!</v>
      </c>
      <c r="I35" s="32" t="e">
        <f>H35/G35*100</f>
        <v>#REF!</v>
      </c>
      <c r="J35" s="58" t="e">
        <f>H35-G35</f>
        <v>#REF!</v>
      </c>
    </row>
    <row r="36" spans="1:12" ht="33.75" customHeight="1">
      <c r="A36" s="60" t="s">
        <v>60</v>
      </c>
      <c r="B36" s="61"/>
      <c r="C36" s="61"/>
      <c r="D36" s="61"/>
      <c r="E36" s="61"/>
      <c r="F36" s="61"/>
      <c r="G36" s="62"/>
      <c r="H36" s="62" t="s">
        <v>61</v>
      </c>
      <c r="I36" s="63"/>
      <c r="J36" s="63"/>
    </row>
    <row r="37" spans="1:12" ht="18" customHeight="1">
      <c r="A37" s="64" t="s">
        <v>62</v>
      </c>
      <c r="B37" s="65"/>
      <c r="C37" s="65"/>
      <c r="D37" s="65"/>
      <c r="E37" s="65"/>
      <c r="F37" s="65"/>
      <c r="G37" s="66">
        <v>3.585</v>
      </c>
      <c r="H37" s="307" t="e">
        <f>#REF!/Структ!D43</f>
        <v>#REF!</v>
      </c>
      <c r="I37" s="288" t="e">
        <f>H37/G37*100</f>
        <v>#REF!</v>
      </c>
      <c r="J37" s="289" t="e">
        <f>H37-G37</f>
        <v>#REF!</v>
      </c>
      <c r="K37" s="67"/>
    </row>
    <row r="38" spans="1:12" ht="18" customHeight="1">
      <c r="A38" s="68" t="s">
        <v>63</v>
      </c>
      <c r="B38" s="69"/>
      <c r="C38" s="70"/>
      <c r="D38" s="70"/>
      <c r="E38" s="70"/>
      <c r="F38" s="70"/>
      <c r="G38" s="38">
        <v>11.119</v>
      </c>
      <c r="H38" s="308" t="e">
        <f>#REF!/Структ!D43</f>
        <v>#REF!</v>
      </c>
      <c r="I38" s="288" t="e">
        <f t="shared" ref="I38:I43" si="5">H38/G38*100</f>
        <v>#REF!</v>
      </c>
      <c r="J38" s="289" t="e">
        <f t="shared" ref="J38:J43" si="6">H38-G38</f>
        <v>#REF!</v>
      </c>
    </row>
    <row r="39" spans="1:12" ht="18" customHeight="1">
      <c r="A39" s="68" t="s">
        <v>64</v>
      </c>
      <c r="B39" s="72"/>
      <c r="C39" s="70"/>
      <c r="D39" s="70"/>
      <c r="E39" s="70"/>
      <c r="F39" s="70"/>
      <c r="G39" s="38">
        <v>2.4460000000000002</v>
      </c>
      <c r="H39" s="308" t="e">
        <f>#REF!/Структ!D43</f>
        <v>#REF!</v>
      </c>
      <c r="I39" s="288" t="e">
        <f t="shared" si="5"/>
        <v>#REF!</v>
      </c>
      <c r="J39" s="289" t="e">
        <f t="shared" si="6"/>
        <v>#REF!</v>
      </c>
    </row>
    <row r="40" spans="1:12" ht="18" customHeight="1">
      <c r="A40" s="73" t="s">
        <v>65</v>
      </c>
      <c r="B40" s="38"/>
      <c r="C40" s="70"/>
      <c r="D40" s="70"/>
      <c r="E40" s="70"/>
      <c r="F40" s="70"/>
      <c r="G40" s="38">
        <v>9.9000000000000005E-2</v>
      </c>
      <c r="H40" s="308" t="e">
        <f>#REF!/Структ!D43</f>
        <v>#REF!</v>
      </c>
      <c r="I40" s="288" t="e">
        <f t="shared" si="5"/>
        <v>#REF!</v>
      </c>
      <c r="J40" s="289" t="e">
        <f t="shared" si="6"/>
        <v>#REF!</v>
      </c>
    </row>
    <row r="41" spans="1:12" ht="18" customHeight="1">
      <c r="A41" s="74" t="s">
        <v>66</v>
      </c>
      <c r="B41" s="38"/>
      <c r="C41" s="70"/>
      <c r="D41" s="70"/>
      <c r="E41" s="70"/>
      <c r="F41" s="70"/>
      <c r="G41" s="38">
        <v>3.2480000000000002</v>
      </c>
      <c r="H41" s="308" t="e">
        <f>(H43-H37-H38-H39-H40-H42)</f>
        <v>#REF!</v>
      </c>
      <c r="I41" s="288" t="e">
        <f t="shared" si="5"/>
        <v>#REF!</v>
      </c>
      <c r="J41" s="289" t="e">
        <f t="shared" si="6"/>
        <v>#REF!</v>
      </c>
    </row>
    <row r="42" spans="1:12" ht="18" hidden="1" customHeight="1">
      <c r="A42" s="74" t="s">
        <v>67</v>
      </c>
      <c r="B42" s="38"/>
      <c r="C42" s="70"/>
      <c r="D42" s="70"/>
      <c r="E42" s="70"/>
      <c r="F42" s="70"/>
      <c r="G42" s="38"/>
      <c r="H42" s="71" t="e">
        <f>Структ!D37/Структ!D43</f>
        <v>#REF!</v>
      </c>
      <c r="I42" s="288" t="e">
        <f t="shared" si="5"/>
        <v>#REF!</v>
      </c>
      <c r="J42" s="289" t="e">
        <f t="shared" si="6"/>
        <v>#REF!</v>
      </c>
    </row>
    <row r="43" spans="1:12" ht="18" customHeight="1">
      <c r="A43" s="75" t="s">
        <v>68</v>
      </c>
      <c r="B43" s="38"/>
      <c r="C43" s="70"/>
      <c r="D43" s="70"/>
      <c r="E43" s="70"/>
      <c r="F43" s="70"/>
      <c r="G43" s="76">
        <f>SUM(G37:G42)</f>
        <v>20.497000000000003</v>
      </c>
      <c r="H43" s="77" t="e">
        <f>Структ!D42/Структ!D43</f>
        <v>#REF!</v>
      </c>
      <c r="I43" s="292" t="e">
        <f t="shared" si="5"/>
        <v>#REF!</v>
      </c>
      <c r="J43" s="293" t="e">
        <f t="shared" si="6"/>
        <v>#REF!</v>
      </c>
    </row>
    <row r="44" spans="1:12" ht="18" customHeight="1">
      <c r="A44" s="60" t="s">
        <v>69</v>
      </c>
      <c r="B44" s="80"/>
      <c r="C44" s="81"/>
      <c r="D44" s="81"/>
      <c r="E44" s="81"/>
      <c r="F44" s="81"/>
      <c r="G44" s="80"/>
      <c r="H44" s="80"/>
      <c r="I44" s="290"/>
      <c r="J44" s="291"/>
    </row>
    <row r="45" spans="1:12" ht="18" customHeight="1">
      <c r="A45" s="64" t="s">
        <v>62</v>
      </c>
      <c r="B45" s="38"/>
      <c r="C45" s="70"/>
      <c r="D45" s="70"/>
      <c r="E45" s="70"/>
      <c r="F45" s="70"/>
      <c r="G45" s="38">
        <v>2.5099999999999998</v>
      </c>
      <c r="H45" s="308" t="e">
        <f>#REF!/Структ!G43</f>
        <v>#REF!</v>
      </c>
      <c r="I45" s="288" t="e">
        <f t="shared" ref="I45:I51" si="7">H45/G45*100</f>
        <v>#REF!</v>
      </c>
      <c r="J45" s="289" t="e">
        <f t="shared" ref="J45:J51" si="8">H45-G45</f>
        <v>#REF!</v>
      </c>
    </row>
    <row r="46" spans="1:12" ht="18" customHeight="1">
      <c r="A46" s="68" t="s">
        <v>63</v>
      </c>
      <c r="B46" s="38"/>
      <c r="C46" s="70"/>
      <c r="D46" s="70"/>
      <c r="E46" s="70"/>
      <c r="F46" s="70"/>
      <c r="G46" s="38">
        <v>11.074999999999999</v>
      </c>
      <c r="H46" s="308" t="e">
        <f>#REF!/Структ!G43</f>
        <v>#REF!</v>
      </c>
      <c r="I46" s="288" t="e">
        <f t="shared" si="7"/>
        <v>#REF!</v>
      </c>
      <c r="J46" s="289" t="e">
        <f t="shared" si="8"/>
        <v>#REF!</v>
      </c>
    </row>
    <row r="47" spans="1:12" ht="18" customHeight="1">
      <c r="A47" s="68" t="s">
        <v>64</v>
      </c>
      <c r="B47" s="38"/>
      <c r="C47" s="70"/>
      <c r="D47" s="70"/>
      <c r="E47" s="70"/>
      <c r="F47" s="70"/>
      <c r="G47" s="38">
        <v>2.4369999999999998</v>
      </c>
      <c r="H47" s="308" t="e">
        <f>#REF!/Структ!G43</f>
        <v>#REF!</v>
      </c>
      <c r="I47" s="288" t="e">
        <f t="shared" si="7"/>
        <v>#REF!</v>
      </c>
      <c r="J47" s="289" t="e">
        <f t="shared" si="8"/>
        <v>#REF!</v>
      </c>
    </row>
    <row r="48" spans="1:12" ht="18" customHeight="1">
      <c r="A48" s="73" t="s">
        <v>65</v>
      </c>
      <c r="B48" s="38"/>
      <c r="C48" s="70"/>
      <c r="D48" s="70"/>
      <c r="E48" s="70"/>
      <c r="F48" s="70"/>
      <c r="G48" s="38">
        <v>0.123</v>
      </c>
      <c r="H48" s="308" t="e">
        <f>#REF!/Структ!G43</f>
        <v>#REF!</v>
      </c>
      <c r="I48" s="288" t="e">
        <f t="shared" si="7"/>
        <v>#REF!</v>
      </c>
      <c r="J48" s="289" t="e">
        <f t="shared" si="8"/>
        <v>#REF!</v>
      </c>
    </row>
    <row r="49" spans="1:10" ht="18" customHeight="1">
      <c r="A49" s="74" t="s">
        <v>66</v>
      </c>
      <c r="B49" s="82"/>
      <c r="C49" s="70"/>
      <c r="D49" s="70"/>
      <c r="E49" s="70"/>
      <c r="F49" s="70"/>
      <c r="G49" s="38">
        <v>6.9569999999999999</v>
      </c>
      <c r="H49" s="308" t="e">
        <f>H51-H45-H46-H47-H48-H50</f>
        <v>#REF!</v>
      </c>
      <c r="I49" s="288" t="e">
        <f t="shared" si="7"/>
        <v>#REF!</v>
      </c>
      <c r="J49" s="289" t="e">
        <f t="shared" si="8"/>
        <v>#REF!</v>
      </c>
    </row>
    <row r="50" spans="1:10" ht="18" hidden="1" customHeight="1">
      <c r="A50" s="74" t="s">
        <v>67</v>
      </c>
      <c r="B50" s="82"/>
      <c r="C50" s="70"/>
      <c r="D50" s="70"/>
      <c r="E50" s="70"/>
      <c r="F50" s="70"/>
      <c r="G50" s="38"/>
      <c r="H50" s="71" t="e">
        <f>Структ!G37/Структ!G43</f>
        <v>#REF!</v>
      </c>
      <c r="I50" s="288" t="e">
        <f t="shared" si="7"/>
        <v>#REF!</v>
      </c>
      <c r="J50" s="289" t="e">
        <f t="shared" si="8"/>
        <v>#REF!</v>
      </c>
    </row>
    <row r="51" spans="1:10" ht="18" customHeight="1">
      <c r="A51" s="75" t="s">
        <v>68</v>
      </c>
      <c r="B51" s="82"/>
      <c r="C51" s="70"/>
      <c r="D51" s="70"/>
      <c r="E51" s="70"/>
      <c r="F51" s="70"/>
      <c r="G51" s="76">
        <f>SUM(G45:G50)</f>
        <v>23.102</v>
      </c>
      <c r="H51" s="83" t="e">
        <f>Структ!G42/Структ!G43</f>
        <v>#REF!</v>
      </c>
      <c r="I51" s="292" t="e">
        <f t="shared" si="7"/>
        <v>#REF!</v>
      </c>
      <c r="J51" s="293" t="e">
        <f t="shared" si="8"/>
        <v>#REF!</v>
      </c>
    </row>
  </sheetData>
  <sheetProtection selectLockedCells="1" selectUnlockedCells="1"/>
  <mergeCells count="2">
    <mergeCell ref="A1:H1"/>
    <mergeCell ref="A2:J2"/>
  </mergeCells>
  <pageMargins left="0.85" right="0.2" top="0.48958333333333331" bottom="0.22013888888888888" header="0.51180555555555551" footer="0.51180555555555551"/>
  <pageSetup paperSize="9" scale="83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4"/>
  <sheetViews>
    <sheetView topLeftCell="A13" zoomScale="90" zoomScaleNormal="90" workbookViewId="0">
      <selection activeCell="G57" sqref="G57"/>
    </sheetView>
  </sheetViews>
  <sheetFormatPr defaultColWidth="9.140625" defaultRowHeight="12.75"/>
  <cols>
    <col min="1" max="1" width="5.7109375" style="84" customWidth="1"/>
    <col min="2" max="2" width="44" style="84" customWidth="1"/>
    <col min="3" max="3" width="9" style="84" hidden="1" customWidth="1"/>
    <col min="4" max="4" width="12.140625" style="84" customWidth="1"/>
    <col min="5" max="5" width="7.7109375" style="84" customWidth="1"/>
    <col min="6" max="6" width="5.7109375" style="84" customWidth="1"/>
    <col min="7" max="7" width="11.85546875" style="84" customWidth="1"/>
    <col min="8" max="8" width="7.140625" style="84" customWidth="1"/>
    <col min="9" max="9" width="5.85546875" style="84" customWidth="1"/>
    <col min="10" max="10" width="8.7109375" style="84" customWidth="1"/>
    <col min="11" max="11" width="7" style="84" customWidth="1"/>
    <col min="12" max="16384" width="9.140625" style="84"/>
  </cols>
  <sheetData>
    <row r="1" spans="1:11" ht="66" customHeight="1">
      <c r="A1" s="342" t="s">
        <v>311</v>
      </c>
      <c r="B1" s="342"/>
      <c r="C1" s="342"/>
      <c r="D1" s="342"/>
      <c r="E1" s="342"/>
      <c r="F1" s="342"/>
      <c r="G1" s="342"/>
      <c r="H1" s="342"/>
      <c r="I1" s="85"/>
    </row>
    <row r="2" spans="1:11">
      <c r="A2" s="86"/>
      <c r="E2" s="86"/>
      <c r="F2" s="86"/>
    </row>
    <row r="3" spans="1:11" ht="24" customHeight="1">
      <c r="A3" s="343" t="s">
        <v>70</v>
      </c>
      <c r="B3" s="344" t="s">
        <v>71</v>
      </c>
      <c r="C3" s="345" t="s">
        <v>72</v>
      </c>
      <c r="D3" s="346" t="s">
        <v>73</v>
      </c>
      <c r="E3" s="346"/>
      <c r="F3" s="346"/>
      <c r="G3" s="346" t="s">
        <v>74</v>
      </c>
      <c r="H3" s="346"/>
      <c r="I3" s="346"/>
      <c r="J3" s="87" t="s">
        <v>75</v>
      </c>
      <c r="K3" s="87" t="s">
        <v>49</v>
      </c>
    </row>
    <row r="4" spans="1:11" ht="24">
      <c r="A4" s="343"/>
      <c r="B4" s="344"/>
      <c r="C4" s="345"/>
      <c r="D4" s="169" t="s">
        <v>76</v>
      </c>
      <c r="E4" s="170" t="s">
        <v>77</v>
      </c>
      <c r="F4" s="171" t="s">
        <v>49</v>
      </c>
      <c r="G4" s="169" t="s">
        <v>76</v>
      </c>
      <c r="H4" s="170" t="s">
        <v>77</v>
      </c>
      <c r="I4" s="172" t="s">
        <v>49</v>
      </c>
    </row>
    <row r="5" spans="1:11" ht="18" customHeight="1">
      <c r="A5" s="88" t="s">
        <v>78</v>
      </c>
      <c r="B5" s="89" t="s">
        <v>79</v>
      </c>
      <c r="C5" s="90" t="s">
        <v>80</v>
      </c>
      <c r="D5" s="91" t="e">
        <f>D6+D11+D12+D17</f>
        <v>#REF!</v>
      </c>
      <c r="E5" s="246" t="e">
        <f>D5/D43</f>
        <v>#REF!</v>
      </c>
      <c r="F5" s="92" t="e">
        <f t="shared" ref="F5:F42" si="0">D5/$D$42*100</f>
        <v>#REF!</v>
      </c>
      <c r="G5" s="91" t="e">
        <f>G6+G11+G12+G17</f>
        <v>#REF!</v>
      </c>
      <c r="H5" s="246" t="e">
        <f t="shared" ref="H5:H39" si="1">G5/$G$43</f>
        <v>#REF!</v>
      </c>
      <c r="I5" s="92" t="e">
        <f t="shared" ref="I5:I42" si="2">G5/$G$42*100</f>
        <v>#REF!</v>
      </c>
      <c r="J5" s="93" t="e">
        <f>D5+G5</f>
        <v>#REF!</v>
      </c>
      <c r="K5" s="94" t="e">
        <f>J5/$L$42*100</f>
        <v>#REF!</v>
      </c>
    </row>
    <row r="6" spans="1:11" ht="18" customHeight="1">
      <c r="A6" s="95" t="s">
        <v>81</v>
      </c>
      <c r="B6" s="96" t="s">
        <v>82</v>
      </c>
      <c r="C6" s="97" t="s">
        <v>83</v>
      </c>
      <c r="D6" s="98" t="e">
        <f>D7+D9+D10</f>
        <v>#REF!</v>
      </c>
      <c r="E6" s="247" t="e">
        <f>D6/$D$43</f>
        <v>#REF!</v>
      </c>
      <c r="F6" s="92" t="e">
        <f t="shared" si="0"/>
        <v>#REF!</v>
      </c>
      <c r="G6" s="98" t="e">
        <f>G7+G10+G8</f>
        <v>#REF!</v>
      </c>
      <c r="H6" s="247" t="e">
        <f t="shared" si="1"/>
        <v>#REF!</v>
      </c>
      <c r="I6" s="92" t="e">
        <f t="shared" si="2"/>
        <v>#REF!</v>
      </c>
      <c r="J6" s="99" t="e">
        <f t="shared" ref="J6:J42" si="3">D6+G6</f>
        <v>#REF!</v>
      </c>
      <c r="K6" s="94" t="e">
        <f t="shared" ref="K6:K42" si="4">J6/$L$42*100</f>
        <v>#REF!</v>
      </c>
    </row>
    <row r="7" spans="1:11" ht="18" customHeight="1">
      <c r="A7" s="95" t="s">
        <v>84</v>
      </c>
      <c r="B7" s="96" t="s">
        <v>85</v>
      </c>
      <c r="C7" s="97" t="s">
        <v>86</v>
      </c>
      <c r="D7" s="98" t="e">
        <f>#REF!</f>
        <v>#REF!</v>
      </c>
      <c r="E7" s="247" t="e">
        <f>D7/$D$43</f>
        <v>#REF!</v>
      </c>
      <c r="F7" s="92" t="e">
        <f t="shared" si="0"/>
        <v>#REF!</v>
      </c>
      <c r="G7" s="98" t="e">
        <f>#REF!</f>
        <v>#REF!</v>
      </c>
      <c r="H7" s="247" t="e">
        <f t="shared" si="1"/>
        <v>#REF!</v>
      </c>
      <c r="I7" s="92" t="e">
        <f t="shared" si="2"/>
        <v>#REF!</v>
      </c>
      <c r="J7" s="99" t="e">
        <f t="shared" si="3"/>
        <v>#REF!</v>
      </c>
      <c r="K7" s="94" t="e">
        <f t="shared" si="4"/>
        <v>#REF!</v>
      </c>
    </row>
    <row r="8" spans="1:11" ht="18" customHeight="1">
      <c r="A8" s="95" t="s">
        <v>87</v>
      </c>
      <c r="B8" s="100" t="s">
        <v>307</v>
      </c>
      <c r="C8" s="97" t="s">
        <v>88</v>
      </c>
      <c r="D8" s="98"/>
      <c r="E8" s="247">
        <f>D8/$D$43</f>
        <v>0</v>
      </c>
      <c r="F8" s="92" t="e">
        <f t="shared" si="0"/>
        <v>#REF!</v>
      </c>
      <c r="G8" s="98" t="e">
        <f>#REF!</f>
        <v>#REF!</v>
      </c>
      <c r="H8" s="247" t="e">
        <f t="shared" si="1"/>
        <v>#REF!</v>
      </c>
      <c r="I8" s="92" t="e">
        <f t="shared" si="2"/>
        <v>#REF!</v>
      </c>
      <c r="J8" s="99" t="e">
        <f t="shared" si="3"/>
        <v>#REF!</v>
      </c>
      <c r="K8" s="94" t="e">
        <f t="shared" si="4"/>
        <v>#REF!</v>
      </c>
    </row>
    <row r="9" spans="1:11" ht="17.25" customHeight="1">
      <c r="A9" s="95" t="s">
        <v>87</v>
      </c>
      <c r="B9" s="101" t="s">
        <v>89</v>
      </c>
      <c r="D9" s="102" t="e">
        <f>#REF!</f>
        <v>#REF!</v>
      </c>
      <c r="E9" s="247" t="e">
        <f t="shared" ref="E9:E36" si="5">D9/$D$43</f>
        <v>#REF!</v>
      </c>
      <c r="F9" s="92" t="e">
        <f t="shared" si="0"/>
        <v>#REF!</v>
      </c>
      <c r="H9" s="247">
        <f t="shared" si="1"/>
        <v>0</v>
      </c>
      <c r="I9" s="92" t="e">
        <f t="shared" si="2"/>
        <v>#REF!</v>
      </c>
      <c r="J9" s="99" t="e">
        <f t="shared" si="3"/>
        <v>#REF!</v>
      </c>
      <c r="K9" s="94" t="e">
        <f t="shared" si="4"/>
        <v>#REF!</v>
      </c>
    </row>
    <row r="10" spans="1:11" ht="18" customHeight="1">
      <c r="A10" s="95" t="s">
        <v>90</v>
      </c>
      <c r="B10" s="96" t="s">
        <v>91</v>
      </c>
      <c r="C10" s="97" t="s">
        <v>92</v>
      </c>
      <c r="D10" s="98" t="e">
        <f>#REF!-D9</f>
        <v>#REF!</v>
      </c>
      <c r="E10" s="247" t="e">
        <f t="shared" si="5"/>
        <v>#REF!</v>
      </c>
      <c r="F10" s="92" t="e">
        <f t="shared" si="0"/>
        <v>#REF!</v>
      </c>
      <c r="G10" s="98" t="e">
        <f>#REF!</f>
        <v>#REF!</v>
      </c>
      <c r="H10" s="247" t="e">
        <f t="shared" si="1"/>
        <v>#REF!</v>
      </c>
      <c r="I10" s="92" t="e">
        <f t="shared" si="2"/>
        <v>#REF!</v>
      </c>
      <c r="J10" s="99" t="e">
        <f t="shared" si="3"/>
        <v>#REF!</v>
      </c>
      <c r="K10" s="94" t="e">
        <f t="shared" si="4"/>
        <v>#REF!</v>
      </c>
    </row>
    <row r="11" spans="1:11" ht="18" customHeight="1">
      <c r="A11" s="95" t="s">
        <v>93</v>
      </c>
      <c r="B11" s="103" t="s">
        <v>94</v>
      </c>
      <c r="C11" s="97" t="s">
        <v>95</v>
      </c>
      <c r="D11" s="104" t="e">
        <f>#REF!</f>
        <v>#REF!</v>
      </c>
      <c r="E11" s="248" t="e">
        <f t="shared" si="5"/>
        <v>#REF!</v>
      </c>
      <c r="F11" s="92" t="e">
        <f t="shared" si="0"/>
        <v>#REF!</v>
      </c>
      <c r="G11" s="104" t="e">
        <f>#REF!</f>
        <v>#REF!</v>
      </c>
      <c r="H11" s="248" t="e">
        <f t="shared" si="1"/>
        <v>#REF!</v>
      </c>
      <c r="I11" s="92" t="e">
        <f t="shared" si="2"/>
        <v>#REF!</v>
      </c>
      <c r="J11" s="99" t="e">
        <f t="shared" si="3"/>
        <v>#REF!</v>
      </c>
      <c r="K11" s="94" t="e">
        <f t="shared" si="4"/>
        <v>#REF!</v>
      </c>
    </row>
    <row r="12" spans="1:11" ht="18" customHeight="1">
      <c r="A12" s="95" t="s">
        <v>96</v>
      </c>
      <c r="B12" s="103" t="s">
        <v>97</v>
      </c>
      <c r="C12" s="97" t="s">
        <v>98</v>
      </c>
      <c r="D12" s="104" t="e">
        <f>D13+D14+D16+D15</f>
        <v>#REF!</v>
      </c>
      <c r="E12" s="248" t="e">
        <f t="shared" si="5"/>
        <v>#REF!</v>
      </c>
      <c r="F12" s="92" t="e">
        <f t="shared" si="0"/>
        <v>#REF!</v>
      </c>
      <c r="G12" s="104" t="e">
        <f>G13+G14+G15+G16</f>
        <v>#REF!</v>
      </c>
      <c r="H12" s="248" t="e">
        <f t="shared" si="1"/>
        <v>#REF!</v>
      </c>
      <c r="I12" s="92" t="e">
        <f t="shared" si="2"/>
        <v>#REF!</v>
      </c>
      <c r="J12" s="99" t="e">
        <f t="shared" si="3"/>
        <v>#REF!</v>
      </c>
      <c r="K12" s="94" t="e">
        <f t="shared" si="4"/>
        <v>#REF!</v>
      </c>
    </row>
    <row r="13" spans="1:11" ht="18" customHeight="1">
      <c r="A13" s="95" t="s">
        <v>99</v>
      </c>
      <c r="B13" s="96" t="s">
        <v>100</v>
      </c>
      <c r="C13" s="97" t="s">
        <v>101</v>
      </c>
      <c r="D13" s="98" t="e">
        <f>#REF!</f>
        <v>#REF!</v>
      </c>
      <c r="E13" s="247" t="e">
        <f t="shared" si="5"/>
        <v>#REF!</v>
      </c>
      <c r="F13" s="92" t="e">
        <f t="shared" si="0"/>
        <v>#REF!</v>
      </c>
      <c r="G13" s="98" t="e">
        <f>#REF!</f>
        <v>#REF!</v>
      </c>
      <c r="H13" s="247" t="e">
        <f t="shared" si="1"/>
        <v>#REF!</v>
      </c>
      <c r="I13" s="92" t="e">
        <f t="shared" si="2"/>
        <v>#REF!</v>
      </c>
      <c r="J13" s="99" t="e">
        <f t="shared" si="3"/>
        <v>#REF!</v>
      </c>
      <c r="K13" s="94" t="e">
        <f t="shared" si="4"/>
        <v>#REF!</v>
      </c>
    </row>
    <row r="14" spans="1:11" ht="15.75" customHeight="1">
      <c r="A14" s="95" t="s">
        <v>102</v>
      </c>
      <c r="B14" s="96" t="s">
        <v>103</v>
      </c>
      <c r="C14" s="97" t="s">
        <v>104</v>
      </c>
      <c r="D14" s="98" t="e">
        <f>#REF!</f>
        <v>#REF!</v>
      </c>
      <c r="E14" s="247" t="e">
        <f t="shared" si="5"/>
        <v>#REF!</v>
      </c>
      <c r="F14" s="92" t="e">
        <f t="shared" si="0"/>
        <v>#REF!</v>
      </c>
      <c r="G14" s="98" t="e">
        <f>#REF!</f>
        <v>#REF!</v>
      </c>
      <c r="H14" s="247" t="e">
        <f t="shared" si="1"/>
        <v>#REF!</v>
      </c>
      <c r="I14" s="92" t="e">
        <f t="shared" si="2"/>
        <v>#REF!</v>
      </c>
      <c r="J14" s="99" t="e">
        <f t="shared" si="3"/>
        <v>#REF!</v>
      </c>
      <c r="K14" s="94" t="e">
        <f t="shared" si="4"/>
        <v>#REF!</v>
      </c>
    </row>
    <row r="15" spans="1:11" ht="18" hidden="1" customHeight="1">
      <c r="A15" s="95" t="s">
        <v>105</v>
      </c>
      <c r="B15" s="105" t="s">
        <v>106</v>
      </c>
      <c r="C15" s="97" t="s">
        <v>107</v>
      </c>
      <c r="D15" s="98" t="e">
        <f>#REF!+#REF!</f>
        <v>#REF!</v>
      </c>
      <c r="E15" s="247" t="e">
        <f t="shared" si="5"/>
        <v>#REF!</v>
      </c>
      <c r="F15" s="92" t="e">
        <f t="shared" si="0"/>
        <v>#REF!</v>
      </c>
      <c r="G15" s="98" t="e">
        <f>#REF!</f>
        <v>#REF!</v>
      </c>
      <c r="H15" s="247" t="e">
        <f t="shared" si="1"/>
        <v>#REF!</v>
      </c>
      <c r="I15" s="92" t="e">
        <f t="shared" si="2"/>
        <v>#REF!</v>
      </c>
      <c r="J15" s="99" t="e">
        <f t="shared" si="3"/>
        <v>#REF!</v>
      </c>
      <c r="K15" s="94" t="e">
        <f t="shared" si="4"/>
        <v>#REF!</v>
      </c>
    </row>
    <row r="16" spans="1:11" ht="18" hidden="1" customHeight="1">
      <c r="A16" s="95" t="s">
        <v>108</v>
      </c>
      <c r="B16" s="105" t="s">
        <v>109</v>
      </c>
      <c r="C16" s="97"/>
      <c r="D16" s="98" t="e">
        <f>#REF!-D15</f>
        <v>#REF!</v>
      </c>
      <c r="E16" s="247" t="e">
        <f t="shared" si="5"/>
        <v>#REF!</v>
      </c>
      <c r="F16" s="92" t="e">
        <f t="shared" si="0"/>
        <v>#REF!</v>
      </c>
      <c r="G16" s="98"/>
      <c r="H16" s="247">
        <f t="shared" si="1"/>
        <v>0</v>
      </c>
      <c r="I16" s="92" t="e">
        <f t="shared" si="2"/>
        <v>#REF!</v>
      </c>
      <c r="J16" s="99" t="e">
        <f t="shared" si="3"/>
        <v>#REF!</v>
      </c>
      <c r="K16" s="94" t="e">
        <f t="shared" si="4"/>
        <v>#REF!</v>
      </c>
    </row>
    <row r="17" spans="1:11" ht="18" customHeight="1">
      <c r="A17" s="95" t="s">
        <v>110</v>
      </c>
      <c r="B17" s="103" t="s">
        <v>111</v>
      </c>
      <c r="C17" s="106" t="s">
        <v>112</v>
      </c>
      <c r="D17" s="104" t="e">
        <f>#REF!+#REF!</f>
        <v>#REF!</v>
      </c>
      <c r="E17" s="248" t="e">
        <f t="shared" si="5"/>
        <v>#REF!</v>
      </c>
      <c r="F17" s="92" t="e">
        <f t="shared" si="0"/>
        <v>#REF!</v>
      </c>
      <c r="G17" s="104" t="e">
        <f>#REF!+#REF!</f>
        <v>#REF!</v>
      </c>
      <c r="H17" s="248" t="e">
        <f t="shared" si="1"/>
        <v>#REF!</v>
      </c>
      <c r="I17" s="92" t="e">
        <f t="shared" si="2"/>
        <v>#REF!</v>
      </c>
      <c r="J17" s="99" t="e">
        <f t="shared" si="3"/>
        <v>#REF!</v>
      </c>
      <c r="K17" s="94" t="e">
        <f t="shared" si="4"/>
        <v>#REF!</v>
      </c>
    </row>
    <row r="18" spans="1:11" ht="18" customHeight="1">
      <c r="A18" s="95" t="s">
        <v>113</v>
      </c>
      <c r="B18" s="96" t="s">
        <v>114</v>
      </c>
      <c r="C18" s="97"/>
      <c r="D18" s="98" t="e">
        <f>#REF!</f>
        <v>#REF!</v>
      </c>
      <c r="E18" s="247" t="e">
        <f t="shared" si="5"/>
        <v>#REF!</v>
      </c>
      <c r="F18" s="107" t="e">
        <f t="shared" si="0"/>
        <v>#REF!</v>
      </c>
      <c r="G18" s="98" t="e">
        <f>#REF!</f>
        <v>#REF!</v>
      </c>
      <c r="H18" s="247" t="e">
        <f t="shared" si="1"/>
        <v>#REF!</v>
      </c>
      <c r="I18" s="107" t="e">
        <f t="shared" si="2"/>
        <v>#REF!</v>
      </c>
      <c r="J18" s="99" t="e">
        <f t="shared" si="3"/>
        <v>#REF!</v>
      </c>
      <c r="K18" s="94" t="e">
        <f t="shared" si="4"/>
        <v>#REF!</v>
      </c>
    </row>
    <row r="19" spans="1:11" ht="18" customHeight="1">
      <c r="A19" s="95" t="s">
        <v>115</v>
      </c>
      <c r="B19" s="96" t="s">
        <v>100</v>
      </c>
      <c r="C19" s="97"/>
      <c r="D19" s="98" t="e">
        <f>#REF!</f>
        <v>#REF!</v>
      </c>
      <c r="E19" s="247" t="e">
        <f t="shared" si="5"/>
        <v>#REF!</v>
      </c>
      <c r="F19" s="107" t="e">
        <f t="shared" si="0"/>
        <v>#REF!</v>
      </c>
      <c r="G19" s="98" t="e">
        <f>#REF!</f>
        <v>#REF!</v>
      </c>
      <c r="H19" s="247" t="e">
        <f t="shared" si="1"/>
        <v>#REF!</v>
      </c>
      <c r="I19" s="107" t="e">
        <f t="shared" si="2"/>
        <v>#REF!</v>
      </c>
      <c r="J19" s="99" t="e">
        <f t="shared" si="3"/>
        <v>#REF!</v>
      </c>
      <c r="K19" s="94" t="e">
        <f t="shared" si="4"/>
        <v>#REF!</v>
      </c>
    </row>
    <row r="20" spans="1:11" ht="18" customHeight="1">
      <c r="A20" s="95" t="s">
        <v>116</v>
      </c>
      <c r="B20" s="96" t="s">
        <v>103</v>
      </c>
      <c r="C20" s="97"/>
      <c r="D20" s="98" t="e">
        <f>#REF!</f>
        <v>#REF!</v>
      </c>
      <c r="E20" s="247" t="e">
        <f t="shared" si="5"/>
        <v>#REF!</v>
      </c>
      <c r="F20" s="107" t="e">
        <f t="shared" si="0"/>
        <v>#REF!</v>
      </c>
      <c r="G20" s="98" t="e">
        <f>#REF!</f>
        <v>#REF!</v>
      </c>
      <c r="H20" s="247" t="e">
        <f t="shared" si="1"/>
        <v>#REF!</v>
      </c>
      <c r="I20" s="107" t="e">
        <f t="shared" si="2"/>
        <v>#REF!</v>
      </c>
      <c r="J20" s="99" t="e">
        <f t="shared" si="3"/>
        <v>#REF!</v>
      </c>
      <c r="K20" s="94" t="e">
        <f t="shared" si="4"/>
        <v>#REF!</v>
      </c>
    </row>
    <row r="21" spans="1:11" ht="18" customHeight="1">
      <c r="A21" s="95" t="s">
        <v>117</v>
      </c>
      <c r="B21" s="96" t="s">
        <v>118</v>
      </c>
      <c r="C21" s="97"/>
      <c r="D21" s="98" t="e">
        <f>#REF!</f>
        <v>#REF!</v>
      </c>
      <c r="E21" s="247" t="e">
        <f t="shared" si="5"/>
        <v>#REF!</v>
      </c>
      <c r="F21" s="107" t="e">
        <f t="shared" si="0"/>
        <v>#REF!</v>
      </c>
      <c r="G21" s="98" t="e">
        <f>#REF!</f>
        <v>#REF!</v>
      </c>
      <c r="H21" s="247" t="e">
        <f t="shared" si="1"/>
        <v>#REF!</v>
      </c>
      <c r="I21" s="107" t="e">
        <f t="shared" si="2"/>
        <v>#REF!</v>
      </c>
      <c r="J21" s="99" t="e">
        <f t="shared" si="3"/>
        <v>#REF!</v>
      </c>
      <c r="K21" s="94" t="e">
        <f t="shared" si="4"/>
        <v>#REF!</v>
      </c>
    </row>
    <row r="22" spans="1:11" ht="19.5" customHeight="1">
      <c r="A22" s="95" t="s">
        <v>119</v>
      </c>
      <c r="B22" s="96" t="s">
        <v>270</v>
      </c>
      <c r="C22" s="97"/>
      <c r="D22" s="98" t="e">
        <f>D17-D18-D19-D20-D21</f>
        <v>#REF!</v>
      </c>
      <c r="E22" s="247" t="e">
        <f t="shared" si="5"/>
        <v>#REF!</v>
      </c>
      <c r="F22" s="107" t="e">
        <f t="shared" si="0"/>
        <v>#REF!</v>
      </c>
      <c r="G22" s="98" t="e">
        <f>G17-G18-G19-G20-G21</f>
        <v>#REF!</v>
      </c>
      <c r="H22" s="247" t="e">
        <f t="shared" si="1"/>
        <v>#REF!</v>
      </c>
      <c r="I22" s="107" t="e">
        <f t="shared" si="2"/>
        <v>#REF!</v>
      </c>
      <c r="J22" s="99" t="e">
        <f t="shared" si="3"/>
        <v>#REF!</v>
      </c>
      <c r="K22" s="94" t="e">
        <f t="shared" si="4"/>
        <v>#REF!</v>
      </c>
    </row>
    <row r="23" spans="1:11" ht="18" customHeight="1">
      <c r="A23" s="108" t="s">
        <v>120</v>
      </c>
      <c r="B23" s="103" t="s">
        <v>121</v>
      </c>
      <c r="C23" s="106" t="s">
        <v>122</v>
      </c>
      <c r="D23" s="104" t="e">
        <f>#REF!</f>
        <v>#REF!</v>
      </c>
      <c r="E23" s="248" t="e">
        <f t="shared" si="5"/>
        <v>#REF!</v>
      </c>
      <c r="F23" s="107" t="e">
        <f t="shared" si="0"/>
        <v>#REF!</v>
      </c>
      <c r="G23" s="104" t="e">
        <f>#REF!</f>
        <v>#REF!</v>
      </c>
      <c r="H23" s="248" t="e">
        <f t="shared" si="1"/>
        <v>#REF!</v>
      </c>
      <c r="I23" s="107" t="e">
        <f t="shared" si="2"/>
        <v>#REF!</v>
      </c>
      <c r="J23" s="93" t="e">
        <f t="shared" si="3"/>
        <v>#REF!</v>
      </c>
      <c r="K23" s="94" t="e">
        <f t="shared" si="4"/>
        <v>#REF!</v>
      </c>
    </row>
    <row r="24" spans="1:11" ht="18" customHeight="1">
      <c r="A24" s="95" t="s">
        <v>123</v>
      </c>
      <c r="B24" s="96" t="s">
        <v>114</v>
      </c>
      <c r="C24" s="106"/>
      <c r="D24" s="98" t="e">
        <f>#REF!</f>
        <v>#REF!</v>
      </c>
      <c r="E24" s="247" t="e">
        <f t="shared" si="5"/>
        <v>#REF!</v>
      </c>
      <c r="F24" s="107" t="e">
        <f t="shared" si="0"/>
        <v>#REF!</v>
      </c>
      <c r="G24" s="98" t="e">
        <f>#REF!</f>
        <v>#REF!</v>
      </c>
      <c r="H24" s="247" t="e">
        <f t="shared" si="1"/>
        <v>#REF!</v>
      </c>
      <c r="I24" s="107" t="e">
        <f t="shared" si="2"/>
        <v>#REF!</v>
      </c>
      <c r="J24" s="99" t="e">
        <f t="shared" si="3"/>
        <v>#REF!</v>
      </c>
      <c r="K24" s="94" t="e">
        <f t="shared" si="4"/>
        <v>#REF!</v>
      </c>
    </row>
    <row r="25" spans="1:11" ht="18" customHeight="1">
      <c r="A25" s="95" t="s">
        <v>124</v>
      </c>
      <c r="B25" s="96" t="s">
        <v>100</v>
      </c>
      <c r="C25" s="106"/>
      <c r="D25" s="98" t="e">
        <f>#REF!</f>
        <v>#REF!</v>
      </c>
      <c r="E25" s="247" t="e">
        <f t="shared" si="5"/>
        <v>#REF!</v>
      </c>
      <c r="F25" s="107" t="e">
        <f t="shared" si="0"/>
        <v>#REF!</v>
      </c>
      <c r="G25" s="98" t="e">
        <f>#REF!</f>
        <v>#REF!</v>
      </c>
      <c r="H25" s="247" t="e">
        <f t="shared" si="1"/>
        <v>#REF!</v>
      </c>
      <c r="I25" s="107" t="e">
        <f t="shared" si="2"/>
        <v>#REF!</v>
      </c>
      <c r="J25" s="99" t="e">
        <f t="shared" si="3"/>
        <v>#REF!</v>
      </c>
      <c r="K25" s="94" t="e">
        <f t="shared" si="4"/>
        <v>#REF!</v>
      </c>
    </row>
    <row r="26" spans="1:11" ht="18" customHeight="1">
      <c r="A26" s="95" t="s">
        <v>125</v>
      </c>
      <c r="B26" s="96" t="s">
        <v>103</v>
      </c>
      <c r="C26" s="106"/>
      <c r="D26" s="98" t="e">
        <f>#REF!</f>
        <v>#REF!</v>
      </c>
      <c r="E26" s="247" t="e">
        <f t="shared" si="5"/>
        <v>#REF!</v>
      </c>
      <c r="F26" s="107" t="e">
        <f t="shared" si="0"/>
        <v>#REF!</v>
      </c>
      <c r="G26" s="98" t="e">
        <f>#REF!</f>
        <v>#REF!</v>
      </c>
      <c r="H26" s="247" t="e">
        <f t="shared" si="1"/>
        <v>#REF!</v>
      </c>
      <c r="I26" s="107" t="e">
        <f t="shared" si="2"/>
        <v>#REF!</v>
      </c>
      <c r="J26" s="99" t="e">
        <f t="shared" si="3"/>
        <v>#REF!</v>
      </c>
      <c r="K26" s="94" t="e">
        <f t="shared" si="4"/>
        <v>#REF!</v>
      </c>
    </row>
    <row r="27" spans="1:11" ht="18" hidden="1" customHeight="1">
      <c r="A27" s="95" t="s">
        <v>126</v>
      </c>
      <c r="B27" s="96" t="s">
        <v>118</v>
      </c>
      <c r="C27" s="106"/>
      <c r="D27" s="98">
        <v>0</v>
      </c>
      <c r="E27" s="247">
        <f t="shared" si="5"/>
        <v>0</v>
      </c>
      <c r="F27" s="107" t="e">
        <f t="shared" si="0"/>
        <v>#REF!</v>
      </c>
      <c r="G27" s="98">
        <v>0</v>
      </c>
      <c r="H27" s="247">
        <f t="shared" si="1"/>
        <v>0</v>
      </c>
      <c r="I27" s="107" t="e">
        <f t="shared" si="2"/>
        <v>#REF!</v>
      </c>
      <c r="J27" s="99">
        <f t="shared" si="3"/>
        <v>0</v>
      </c>
      <c r="K27" s="94" t="e">
        <f t="shared" si="4"/>
        <v>#REF!</v>
      </c>
    </row>
    <row r="28" spans="1:11" ht="30.75" customHeight="1">
      <c r="A28" s="95" t="s">
        <v>126</v>
      </c>
      <c r="B28" s="96" t="s">
        <v>269</v>
      </c>
      <c r="C28" s="106"/>
      <c r="D28" s="98" t="e">
        <f>D23-D24-D25-D26</f>
        <v>#REF!</v>
      </c>
      <c r="E28" s="247" t="e">
        <f t="shared" si="5"/>
        <v>#REF!</v>
      </c>
      <c r="F28" s="107" t="e">
        <f t="shared" si="0"/>
        <v>#REF!</v>
      </c>
      <c r="G28" s="98" t="e">
        <f>G23-G24-G25-G26</f>
        <v>#REF!</v>
      </c>
      <c r="H28" s="247" t="e">
        <f t="shared" si="1"/>
        <v>#REF!</v>
      </c>
      <c r="I28" s="107" t="e">
        <f t="shared" si="2"/>
        <v>#REF!</v>
      </c>
      <c r="J28" s="99" t="e">
        <f t="shared" si="3"/>
        <v>#REF!</v>
      </c>
      <c r="K28" s="94" t="e">
        <f t="shared" si="4"/>
        <v>#REF!</v>
      </c>
    </row>
    <row r="29" spans="1:11" ht="18" customHeight="1">
      <c r="A29" s="108" t="s">
        <v>127</v>
      </c>
      <c r="B29" s="103" t="s">
        <v>128</v>
      </c>
      <c r="C29" s="106" t="s">
        <v>129</v>
      </c>
      <c r="D29" s="104" t="e">
        <f>#REF!</f>
        <v>#REF!</v>
      </c>
      <c r="E29" s="248" t="e">
        <f t="shared" si="5"/>
        <v>#REF!</v>
      </c>
      <c r="F29" s="107" t="e">
        <f t="shared" si="0"/>
        <v>#REF!</v>
      </c>
      <c r="G29" s="104" t="e">
        <f>#REF!</f>
        <v>#REF!</v>
      </c>
      <c r="H29" s="248" t="e">
        <f t="shared" si="1"/>
        <v>#REF!</v>
      </c>
      <c r="I29" s="107" t="e">
        <f t="shared" si="2"/>
        <v>#REF!</v>
      </c>
      <c r="J29" s="93" t="e">
        <f t="shared" si="3"/>
        <v>#REF!</v>
      </c>
      <c r="K29" s="94" t="e">
        <f t="shared" si="4"/>
        <v>#REF!</v>
      </c>
    </row>
    <row r="30" spans="1:11" ht="18" hidden="1" customHeight="1">
      <c r="A30" s="109" t="s">
        <v>130</v>
      </c>
      <c r="B30" s="96" t="s">
        <v>114</v>
      </c>
      <c r="C30" s="106"/>
      <c r="D30" s="98" t="e">
        <f>#REF!</f>
        <v>#REF!</v>
      </c>
      <c r="E30" s="247" t="e">
        <f t="shared" si="5"/>
        <v>#REF!</v>
      </c>
      <c r="F30" s="107" t="e">
        <f t="shared" si="0"/>
        <v>#REF!</v>
      </c>
      <c r="G30" s="98" t="e">
        <f>#REF!</f>
        <v>#REF!</v>
      </c>
      <c r="H30" s="247" t="e">
        <f t="shared" si="1"/>
        <v>#REF!</v>
      </c>
      <c r="I30" s="107" t="e">
        <f t="shared" si="2"/>
        <v>#REF!</v>
      </c>
      <c r="J30" s="99" t="e">
        <f t="shared" si="3"/>
        <v>#REF!</v>
      </c>
      <c r="K30" s="94" t="e">
        <f t="shared" si="4"/>
        <v>#REF!</v>
      </c>
    </row>
    <row r="31" spans="1:11" ht="18" hidden="1" customHeight="1">
      <c r="A31" s="109" t="s">
        <v>131</v>
      </c>
      <c r="B31" s="96" t="s">
        <v>100</v>
      </c>
      <c r="C31" s="106"/>
      <c r="D31" s="98" t="e">
        <f>#REF!</f>
        <v>#REF!</v>
      </c>
      <c r="E31" s="247" t="e">
        <f t="shared" si="5"/>
        <v>#REF!</v>
      </c>
      <c r="F31" s="107" t="e">
        <f t="shared" si="0"/>
        <v>#REF!</v>
      </c>
      <c r="G31" s="98" t="e">
        <f>#REF!</f>
        <v>#REF!</v>
      </c>
      <c r="H31" s="247" t="e">
        <f t="shared" si="1"/>
        <v>#REF!</v>
      </c>
      <c r="I31" s="107" t="e">
        <f t="shared" si="2"/>
        <v>#REF!</v>
      </c>
      <c r="J31" s="99" t="e">
        <f t="shared" si="3"/>
        <v>#REF!</v>
      </c>
      <c r="K31" s="94" t="e">
        <f t="shared" si="4"/>
        <v>#REF!</v>
      </c>
    </row>
    <row r="32" spans="1:11" ht="18" hidden="1" customHeight="1">
      <c r="A32" s="109" t="s">
        <v>132</v>
      </c>
      <c r="B32" s="96" t="s">
        <v>103</v>
      </c>
      <c r="C32" s="106"/>
      <c r="D32" s="98" t="e">
        <f>#REF!</f>
        <v>#REF!</v>
      </c>
      <c r="E32" s="247" t="e">
        <f t="shared" si="5"/>
        <v>#REF!</v>
      </c>
      <c r="F32" s="107" t="e">
        <f t="shared" si="0"/>
        <v>#REF!</v>
      </c>
      <c r="G32" s="98" t="e">
        <f>#REF!</f>
        <v>#REF!</v>
      </c>
      <c r="H32" s="247" t="e">
        <f t="shared" si="1"/>
        <v>#REF!</v>
      </c>
      <c r="I32" s="107" t="e">
        <f t="shared" si="2"/>
        <v>#REF!</v>
      </c>
      <c r="J32" s="99" t="e">
        <f t="shared" si="3"/>
        <v>#REF!</v>
      </c>
      <c r="K32" s="94" t="e">
        <f t="shared" si="4"/>
        <v>#REF!</v>
      </c>
    </row>
    <row r="33" spans="1:13" ht="19.5" hidden="1" customHeight="1">
      <c r="A33" s="109" t="s">
        <v>133</v>
      </c>
      <c r="B33" s="96" t="s">
        <v>268</v>
      </c>
      <c r="C33" s="106"/>
      <c r="D33" s="98" t="e">
        <f>D29-D30-D31-D32</f>
        <v>#REF!</v>
      </c>
      <c r="E33" s="247" t="e">
        <f t="shared" si="5"/>
        <v>#REF!</v>
      </c>
      <c r="F33" s="107" t="e">
        <f t="shared" si="0"/>
        <v>#REF!</v>
      </c>
      <c r="G33" s="98" t="e">
        <f>G29-G30-G31-G32</f>
        <v>#REF!</v>
      </c>
      <c r="H33" s="247" t="e">
        <f t="shared" si="1"/>
        <v>#REF!</v>
      </c>
      <c r="I33" s="107" t="e">
        <f t="shared" si="2"/>
        <v>#REF!</v>
      </c>
      <c r="J33" s="99" t="e">
        <f t="shared" si="3"/>
        <v>#REF!</v>
      </c>
      <c r="K33" s="94" t="e">
        <f t="shared" si="4"/>
        <v>#REF!</v>
      </c>
    </row>
    <row r="34" spans="1:13" ht="18" customHeight="1">
      <c r="A34" s="108" t="s">
        <v>134</v>
      </c>
      <c r="B34" s="103" t="s">
        <v>135</v>
      </c>
      <c r="C34" s="106" t="s">
        <v>136</v>
      </c>
      <c r="D34" s="104" t="e">
        <f>#REF!</f>
        <v>#REF!</v>
      </c>
      <c r="E34" s="248" t="e">
        <f t="shared" si="5"/>
        <v>#REF!</v>
      </c>
      <c r="F34" s="107" t="e">
        <f t="shared" si="0"/>
        <v>#REF!</v>
      </c>
      <c r="G34" s="104" t="e">
        <f>#REF!</f>
        <v>#REF!</v>
      </c>
      <c r="H34" s="248" t="e">
        <f t="shared" si="1"/>
        <v>#REF!</v>
      </c>
      <c r="I34" s="107" t="e">
        <f t="shared" si="2"/>
        <v>#REF!</v>
      </c>
      <c r="J34" s="93" t="e">
        <f t="shared" si="3"/>
        <v>#REF!</v>
      </c>
      <c r="K34" s="94" t="e">
        <f t="shared" si="4"/>
        <v>#REF!</v>
      </c>
    </row>
    <row r="35" spans="1:13" ht="18" customHeight="1">
      <c r="A35" s="108" t="s">
        <v>137</v>
      </c>
      <c r="B35" s="103" t="s">
        <v>195</v>
      </c>
      <c r="C35" s="106" t="s">
        <v>138</v>
      </c>
      <c r="D35" s="104" t="e">
        <f>#REF!</f>
        <v>#REF!</v>
      </c>
      <c r="E35" s="248" t="e">
        <f t="shared" si="5"/>
        <v>#REF!</v>
      </c>
      <c r="F35" s="107" t="e">
        <f t="shared" si="0"/>
        <v>#REF!</v>
      </c>
      <c r="G35" s="104" t="e">
        <f>#REF!+#REF!</f>
        <v>#REF!</v>
      </c>
      <c r="H35" s="248" t="e">
        <f t="shared" si="1"/>
        <v>#REF!</v>
      </c>
      <c r="I35" s="107" t="e">
        <f t="shared" si="2"/>
        <v>#REF!</v>
      </c>
      <c r="J35" s="99" t="e">
        <f t="shared" si="3"/>
        <v>#REF!</v>
      </c>
      <c r="K35" s="94" t="e">
        <f t="shared" si="4"/>
        <v>#REF!</v>
      </c>
    </row>
    <row r="36" spans="1:13" ht="18" customHeight="1">
      <c r="A36" s="108" t="s">
        <v>139</v>
      </c>
      <c r="B36" s="103" t="s">
        <v>140</v>
      </c>
      <c r="C36" s="106" t="s">
        <v>141</v>
      </c>
      <c r="D36" s="104" t="e">
        <f>D5+D23+D29+D34+D35</f>
        <v>#REF!</v>
      </c>
      <c r="E36" s="248" t="e">
        <f t="shared" si="5"/>
        <v>#REF!</v>
      </c>
      <c r="F36" s="107" t="e">
        <f t="shared" si="0"/>
        <v>#REF!</v>
      </c>
      <c r="G36" s="104" t="e">
        <f>G5+G23+G29+G34+G35</f>
        <v>#REF!</v>
      </c>
      <c r="H36" s="248" t="e">
        <f t="shared" si="1"/>
        <v>#REF!</v>
      </c>
      <c r="I36" s="107" t="e">
        <f t="shared" si="2"/>
        <v>#REF!</v>
      </c>
      <c r="J36" s="93" t="e">
        <f t="shared" si="3"/>
        <v>#REF!</v>
      </c>
      <c r="K36" s="94" t="e">
        <f t="shared" si="4"/>
        <v>#REF!</v>
      </c>
    </row>
    <row r="37" spans="1:13" ht="18" customHeight="1">
      <c r="A37" s="95" t="s">
        <v>142</v>
      </c>
      <c r="B37" s="96" t="s">
        <v>143</v>
      </c>
      <c r="C37" s="97" t="s">
        <v>144</v>
      </c>
      <c r="D37" s="98" t="e">
        <f>D38+D39</f>
        <v>#REF!</v>
      </c>
      <c r="E37" s="247" t="e">
        <f>E38+E39</f>
        <v>#REF!</v>
      </c>
      <c r="F37" s="107" t="e">
        <f t="shared" si="0"/>
        <v>#REF!</v>
      </c>
      <c r="G37" s="98" t="e">
        <f>G38+G39</f>
        <v>#REF!</v>
      </c>
      <c r="H37" s="247" t="e">
        <f t="shared" si="1"/>
        <v>#REF!</v>
      </c>
      <c r="I37" s="107" t="e">
        <f t="shared" si="2"/>
        <v>#REF!</v>
      </c>
      <c r="J37" s="99" t="e">
        <f t="shared" si="3"/>
        <v>#REF!</v>
      </c>
      <c r="K37" s="94" t="e">
        <f t="shared" si="4"/>
        <v>#REF!</v>
      </c>
    </row>
    <row r="38" spans="1:13" ht="18" customHeight="1">
      <c r="A38" s="95" t="s">
        <v>145</v>
      </c>
      <c r="B38" s="105" t="s">
        <v>146</v>
      </c>
      <c r="C38" s="97" t="s">
        <v>147</v>
      </c>
      <c r="D38" s="98" t="e">
        <f>#REF!</f>
        <v>#REF!</v>
      </c>
      <c r="E38" s="247" t="e">
        <f>D38/$D$43</f>
        <v>#REF!</v>
      </c>
      <c r="F38" s="107" t="e">
        <f t="shared" si="0"/>
        <v>#REF!</v>
      </c>
      <c r="G38" s="98" t="e">
        <f>#REF!</f>
        <v>#REF!</v>
      </c>
      <c r="H38" s="247" t="e">
        <f t="shared" si="1"/>
        <v>#REF!</v>
      </c>
      <c r="I38" s="107" t="e">
        <f t="shared" si="2"/>
        <v>#REF!</v>
      </c>
      <c r="J38" s="99" t="e">
        <f t="shared" si="3"/>
        <v>#REF!</v>
      </c>
      <c r="K38" s="94" t="e">
        <f t="shared" si="4"/>
        <v>#REF!</v>
      </c>
    </row>
    <row r="39" spans="1:13" ht="18" customHeight="1">
      <c r="A39" s="95" t="s">
        <v>148</v>
      </c>
      <c r="B39" s="105" t="s">
        <v>304</v>
      </c>
      <c r="C39" s="97" t="s">
        <v>149</v>
      </c>
      <c r="D39" s="98" t="e">
        <f>#REF!</f>
        <v>#REF!</v>
      </c>
      <c r="E39" s="247" t="e">
        <f>D39/D43</f>
        <v>#REF!</v>
      </c>
      <c r="F39" s="107" t="e">
        <f t="shared" si="0"/>
        <v>#REF!</v>
      </c>
      <c r="G39" s="98" t="e">
        <f>#REF!</f>
        <v>#REF!</v>
      </c>
      <c r="H39" s="247" t="e">
        <f t="shared" si="1"/>
        <v>#REF!</v>
      </c>
      <c r="I39" s="107" t="e">
        <f t="shared" si="2"/>
        <v>#REF!</v>
      </c>
      <c r="J39" s="99" t="e">
        <f t="shared" si="3"/>
        <v>#REF!</v>
      </c>
      <c r="K39" s="94" t="e">
        <f t="shared" si="4"/>
        <v>#REF!</v>
      </c>
    </row>
    <row r="40" spans="1:13" ht="18" hidden="1" customHeight="1">
      <c r="A40" s="95" t="s">
        <v>150</v>
      </c>
      <c r="B40" s="96" t="s">
        <v>151</v>
      </c>
      <c r="C40" s="97" t="s">
        <v>152</v>
      </c>
      <c r="D40" s="98"/>
      <c r="E40" s="247">
        <f>D40/D44</f>
        <v>0</v>
      </c>
      <c r="F40" s="107" t="e">
        <f t="shared" si="0"/>
        <v>#REF!</v>
      </c>
      <c r="G40" s="98"/>
      <c r="H40" s="247"/>
      <c r="I40" s="107" t="e">
        <f t="shared" si="2"/>
        <v>#REF!</v>
      </c>
      <c r="J40" s="99">
        <f t="shared" si="3"/>
        <v>0</v>
      </c>
      <c r="K40" s="94" t="e">
        <f t="shared" si="4"/>
        <v>#REF!</v>
      </c>
    </row>
    <row r="41" spans="1:13" ht="18" hidden="1" customHeight="1">
      <c r="A41" s="95" t="s">
        <v>153</v>
      </c>
      <c r="B41" s="96" t="s">
        <v>154</v>
      </c>
      <c r="C41" s="97" t="s">
        <v>155</v>
      </c>
      <c r="D41" s="98"/>
      <c r="E41" s="247">
        <f>D41/D45</f>
        <v>0</v>
      </c>
      <c r="F41" s="107" t="e">
        <f t="shared" si="0"/>
        <v>#REF!</v>
      </c>
      <c r="G41" s="98"/>
      <c r="H41" s="247"/>
      <c r="I41" s="107" t="e">
        <f t="shared" si="2"/>
        <v>#REF!</v>
      </c>
      <c r="J41" s="99">
        <f t="shared" si="3"/>
        <v>0</v>
      </c>
      <c r="K41" s="94" t="e">
        <f t="shared" si="4"/>
        <v>#REF!</v>
      </c>
    </row>
    <row r="42" spans="1:13" ht="33.75" customHeight="1">
      <c r="A42" s="95" t="s">
        <v>156</v>
      </c>
      <c r="B42" s="96" t="s">
        <v>157</v>
      </c>
      <c r="C42" s="97" t="s">
        <v>158</v>
      </c>
      <c r="D42" s="98" t="e">
        <f>D36+D37</f>
        <v>#REF!</v>
      </c>
      <c r="E42" s="269" t="e">
        <f>E36+E37</f>
        <v>#REF!</v>
      </c>
      <c r="F42" s="92" t="e">
        <f t="shared" si="0"/>
        <v>#REF!</v>
      </c>
      <c r="G42" s="98" t="e">
        <f>G36+G37</f>
        <v>#REF!</v>
      </c>
      <c r="H42" s="269" t="e">
        <f>G42/$G$43</f>
        <v>#REF!</v>
      </c>
      <c r="I42" s="92" t="e">
        <f t="shared" si="2"/>
        <v>#REF!</v>
      </c>
      <c r="J42" s="110" t="e">
        <f t="shared" si="3"/>
        <v>#REF!</v>
      </c>
      <c r="K42" s="94" t="e">
        <f t="shared" si="4"/>
        <v>#REF!</v>
      </c>
      <c r="L42" s="84" t="e">
        <f>J42*1.2</f>
        <v>#REF!</v>
      </c>
      <c r="M42" s="84" t="e">
        <f>L42/12</f>
        <v>#REF!</v>
      </c>
    </row>
    <row r="43" spans="1:13" ht="26.25" customHeight="1">
      <c r="A43" s="95" t="s">
        <v>159</v>
      </c>
      <c r="B43" s="103" t="s">
        <v>160</v>
      </c>
      <c r="C43" s="97" t="s">
        <v>161</v>
      </c>
      <c r="D43" s="104">
        <f>SUM(D44:D47)</f>
        <v>101.29999999999998</v>
      </c>
      <c r="E43" s="270" t="s">
        <v>162</v>
      </c>
      <c r="F43" s="111"/>
      <c r="G43" s="104">
        <f>SUM(G44:G47)</f>
        <v>38.35</v>
      </c>
      <c r="H43" s="269" t="s">
        <v>162</v>
      </c>
      <c r="I43" s="112"/>
    </row>
    <row r="44" spans="1:13" ht="18" hidden="1" customHeight="1">
      <c r="A44" s="95" t="s">
        <v>163</v>
      </c>
      <c r="B44" s="113" t="s">
        <v>164</v>
      </c>
      <c r="C44" s="97" t="s">
        <v>165</v>
      </c>
      <c r="D44" s="98">
        <f>РП!N28</f>
        <v>84.72999999999999</v>
      </c>
      <c r="E44" s="270" t="s">
        <v>162</v>
      </c>
      <c r="F44" s="111"/>
      <c r="G44" s="98">
        <f>РП!N35</f>
        <v>31.400000000000002</v>
      </c>
      <c r="H44" s="269" t="s">
        <v>162</v>
      </c>
      <c r="I44" s="112"/>
    </row>
    <row r="45" spans="1:13" ht="18" hidden="1" customHeight="1">
      <c r="A45" s="95" t="s">
        <v>166</v>
      </c>
      <c r="B45" s="114" t="s">
        <v>167</v>
      </c>
      <c r="C45" s="97" t="s">
        <v>168</v>
      </c>
      <c r="D45" s="98">
        <f>РП!N29</f>
        <v>9.8000000000000007</v>
      </c>
      <c r="E45" s="270" t="s">
        <v>162</v>
      </c>
      <c r="F45" s="111"/>
      <c r="G45" s="98">
        <f>РП!N36</f>
        <v>3.45</v>
      </c>
      <c r="H45" s="269" t="s">
        <v>162</v>
      </c>
      <c r="I45" s="112"/>
    </row>
    <row r="46" spans="1:13" ht="18" hidden="1" customHeight="1">
      <c r="A46" s="95" t="s">
        <v>169</v>
      </c>
      <c r="B46" s="113" t="s">
        <v>170</v>
      </c>
      <c r="C46" s="97" t="s">
        <v>171</v>
      </c>
      <c r="D46" s="98">
        <f>РП!N30</f>
        <v>6.77</v>
      </c>
      <c r="E46" s="270" t="s">
        <v>162</v>
      </c>
      <c r="F46" s="111"/>
      <c r="G46" s="98">
        <f>РП!N37</f>
        <v>3.5</v>
      </c>
      <c r="H46" s="269" t="s">
        <v>162</v>
      </c>
      <c r="I46" s="112"/>
    </row>
    <row r="47" spans="1:13" ht="37.5" hidden="1" customHeight="1">
      <c r="A47" s="95" t="s">
        <v>172</v>
      </c>
      <c r="B47" s="113" t="s">
        <v>173</v>
      </c>
      <c r="C47" s="97" t="s">
        <v>174</v>
      </c>
      <c r="D47" s="98">
        <f>РП!N31</f>
        <v>0</v>
      </c>
      <c r="E47" s="270" t="s">
        <v>162</v>
      </c>
      <c r="F47" s="111"/>
      <c r="G47" s="98">
        <f>РП!N38</f>
        <v>0</v>
      </c>
      <c r="H47" s="269" t="s">
        <v>162</v>
      </c>
      <c r="I47" s="112"/>
    </row>
    <row r="48" spans="1:13" ht="18" customHeight="1">
      <c r="A48" s="115" t="s">
        <v>175</v>
      </c>
      <c r="B48" s="116" t="s">
        <v>176</v>
      </c>
      <c r="C48" s="117" t="s">
        <v>177</v>
      </c>
      <c r="D48" s="118" t="s">
        <v>162</v>
      </c>
      <c r="E48" s="297" t="e">
        <f>D42/D43</f>
        <v>#REF!</v>
      </c>
      <c r="F48" s="119"/>
      <c r="G48" s="120" t="s">
        <v>162</v>
      </c>
      <c r="H48" s="297" t="e">
        <f>G42/G43</f>
        <v>#REF!</v>
      </c>
      <c r="I48" s="121"/>
      <c r="J48" s="122" t="e">
        <f t="shared" ref="J48:J53" si="6">E48+H48</f>
        <v>#REF!</v>
      </c>
      <c r="K48" s="84" t="e">
        <f>J48*1.2</f>
        <v>#REF!</v>
      </c>
    </row>
    <row r="49" spans="1:10" ht="18" customHeight="1">
      <c r="A49" s="115">
        <v>11</v>
      </c>
      <c r="B49" s="123" t="s">
        <v>178</v>
      </c>
      <c r="C49" s="124"/>
      <c r="D49" s="125" t="e">
        <f>D42*0.2</f>
        <v>#REF!</v>
      </c>
      <c r="E49" s="295" t="e">
        <f>E48*0.2</f>
        <v>#REF!</v>
      </c>
      <c r="F49" s="121"/>
      <c r="G49" s="125" t="e">
        <f>G42*0.2</f>
        <v>#REF!</v>
      </c>
      <c r="H49" s="295" t="e">
        <f>H48*0.2</f>
        <v>#REF!</v>
      </c>
      <c r="I49" s="121"/>
      <c r="J49" s="122" t="e">
        <f t="shared" si="6"/>
        <v>#REF!</v>
      </c>
    </row>
    <row r="50" spans="1:10" ht="18" customHeight="1">
      <c r="A50" s="115">
        <v>12</v>
      </c>
      <c r="B50" s="123" t="s">
        <v>179</v>
      </c>
      <c r="C50" s="124" t="s">
        <v>177</v>
      </c>
      <c r="D50" s="125" t="e">
        <f>D42+D49</f>
        <v>#REF!</v>
      </c>
      <c r="E50" s="295" t="e">
        <f>E48*1.2</f>
        <v>#REF!</v>
      </c>
      <c r="F50" s="121"/>
      <c r="G50" s="125" t="e">
        <f>G42+G49</f>
        <v>#REF!</v>
      </c>
      <c r="H50" s="295" t="e">
        <f>H48*1.2</f>
        <v>#REF!</v>
      </c>
      <c r="I50" s="296"/>
      <c r="J50" s="122" t="e">
        <f t="shared" si="6"/>
        <v>#REF!</v>
      </c>
    </row>
    <row r="51" spans="1:10" ht="12.75" hidden="1" customHeight="1">
      <c r="A51" s="126"/>
      <c r="B51" s="127" t="s">
        <v>180</v>
      </c>
      <c r="C51" s="128"/>
      <c r="D51" s="126"/>
      <c r="E51" s="129" t="e">
        <f>E48*1.2</f>
        <v>#REF!</v>
      </c>
      <c r="F51" s="129"/>
      <c r="G51" s="130"/>
      <c r="H51" s="129" t="e">
        <f>H48*1.2</f>
        <v>#REF!</v>
      </c>
      <c r="I51" s="129"/>
      <c r="J51" s="122" t="e">
        <f t="shared" si="6"/>
        <v>#REF!</v>
      </c>
    </row>
    <row r="52" spans="1:10" hidden="1">
      <c r="A52" s="126"/>
      <c r="B52" s="127" t="s">
        <v>181</v>
      </c>
      <c r="C52" s="128"/>
      <c r="D52" s="126"/>
      <c r="E52" s="129" t="e">
        <f>E51-9.468</f>
        <v>#REF!</v>
      </c>
      <c r="F52" s="131" t="e">
        <f>E48/7.89*100-100</f>
        <v>#REF!</v>
      </c>
      <c r="G52" s="130"/>
      <c r="H52" s="129" t="e">
        <f>H51-6.996</f>
        <v>#REF!</v>
      </c>
      <c r="I52" s="132" t="e">
        <f>H48/5.83*100-100</f>
        <v>#REF!</v>
      </c>
      <c r="J52" s="122" t="e">
        <f t="shared" si="6"/>
        <v>#REF!</v>
      </c>
    </row>
    <row r="53" spans="1:10" hidden="1">
      <c r="A53" s="126"/>
      <c r="B53" s="127" t="s">
        <v>182</v>
      </c>
      <c r="C53" s="128"/>
      <c r="D53" s="126"/>
      <c r="E53" s="129" t="e">
        <f>E51*7.604</f>
        <v>#REF!</v>
      </c>
      <c r="F53" s="129"/>
      <c r="G53" s="130"/>
      <c r="H53" s="129" t="e">
        <f>H51*7.604</f>
        <v>#REF!</v>
      </c>
      <c r="I53" s="129"/>
      <c r="J53" s="122" t="e">
        <f t="shared" si="6"/>
        <v>#REF!</v>
      </c>
    </row>
    <row r="54" spans="1:10" ht="36" customHeight="1">
      <c r="A54" s="133"/>
      <c r="B54" s="134" t="s">
        <v>183</v>
      </c>
      <c r="C54" s="134"/>
      <c r="E54" s="135" t="s">
        <v>316</v>
      </c>
      <c r="J54" s="122"/>
    </row>
  </sheetData>
  <sheetProtection selectLockedCells="1" selectUnlockedCells="1"/>
  <mergeCells count="6">
    <mergeCell ref="A1:H1"/>
    <mergeCell ref="A3:A4"/>
    <mergeCell ref="B3:B4"/>
    <mergeCell ref="C3:C4"/>
    <mergeCell ref="D3:F3"/>
    <mergeCell ref="G3:I3"/>
  </mergeCells>
  <pageMargins left="0.55000000000000004" right="0.19027777777777777" top="0.67" bottom="0.2" header="0.41" footer="0.51180555555555551"/>
  <pageSetup paperSize="9" scale="97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9"/>
  <sheetViews>
    <sheetView tabSelected="1" topLeftCell="A2" zoomScale="110" zoomScaleNormal="110" zoomScaleSheetLayoutView="90" workbookViewId="0">
      <selection activeCell="M5" sqref="M5"/>
    </sheetView>
  </sheetViews>
  <sheetFormatPr defaultColWidth="9.140625" defaultRowHeight="12.75"/>
  <cols>
    <col min="1" max="1" width="4.140625" style="84" customWidth="1"/>
    <col min="2" max="2" width="33.42578125" style="84" customWidth="1"/>
    <col min="3" max="3" width="3.5703125" style="84" customWidth="1"/>
    <col min="4" max="4" width="7.85546875" style="84" hidden="1" customWidth="1"/>
    <col min="5" max="5" width="7.28515625" style="84" hidden="1" customWidth="1"/>
    <col min="6" max="6" width="7.85546875" style="84" hidden="1" customWidth="1"/>
    <col min="7" max="11" width="8.28515625" style="84" customWidth="1"/>
    <col min="12" max="12" width="7.85546875" style="84" customWidth="1"/>
    <col min="13" max="13" width="9" style="84" customWidth="1"/>
    <col min="14" max="14" width="8" style="84" customWidth="1"/>
    <col min="15" max="15" width="6.140625" style="84" customWidth="1"/>
    <col min="16" max="16384" width="9.140625" style="84"/>
  </cols>
  <sheetData>
    <row r="1" spans="1:15" ht="27" customHeight="1">
      <c r="D1" s="142"/>
      <c r="E1" s="142"/>
      <c r="F1" s="144"/>
      <c r="G1" s="2"/>
      <c r="H1" s="145"/>
      <c r="I1" s="145"/>
      <c r="J1" s="145"/>
      <c r="K1" s="145"/>
      <c r="L1" s="145"/>
      <c r="M1" s="145"/>
      <c r="N1" s="2" t="s">
        <v>287</v>
      </c>
    </row>
    <row r="2" spans="1:15" ht="15.75">
      <c r="F2" s="141"/>
      <c r="G2" s="142"/>
      <c r="H2" s="142"/>
      <c r="I2" s="141" t="s">
        <v>207</v>
      </c>
      <c r="J2" s="141"/>
      <c r="K2" s="142"/>
      <c r="L2" s="142"/>
      <c r="M2" s="142"/>
      <c r="N2" s="142"/>
      <c r="O2" s="142"/>
    </row>
    <row r="3" spans="1:15" ht="12.75" customHeight="1">
      <c r="B3" s="136" t="s">
        <v>266</v>
      </c>
      <c r="F3" s="141"/>
      <c r="G3" s="142"/>
      <c r="H3" s="142"/>
      <c r="I3" s="141" t="s">
        <v>284</v>
      </c>
      <c r="J3" s="141"/>
      <c r="K3" s="142"/>
      <c r="L3" s="142"/>
      <c r="M3" s="142"/>
      <c r="N3" s="142"/>
      <c r="O3" s="142"/>
    </row>
    <row r="4" spans="1:15" ht="13.5" customHeight="1">
      <c r="F4" s="141"/>
      <c r="G4" s="142"/>
      <c r="H4" s="142"/>
      <c r="I4" s="146"/>
      <c r="J4" s="146"/>
      <c r="K4" s="147"/>
      <c r="L4" s="142"/>
      <c r="M4" s="141" t="s">
        <v>286</v>
      </c>
      <c r="O4" s="142"/>
    </row>
    <row r="5" spans="1:15" ht="12.75" customHeight="1">
      <c r="F5" s="141"/>
      <c r="G5" s="142"/>
      <c r="H5" s="142"/>
      <c r="I5" s="148"/>
      <c r="J5" s="148"/>
      <c r="K5" s="149"/>
      <c r="L5" s="142"/>
      <c r="M5" s="141" t="s">
        <v>387</v>
      </c>
      <c r="O5" s="142"/>
    </row>
    <row r="6" spans="1:15">
      <c r="M6" s="136"/>
    </row>
    <row r="7" spans="1:15" ht="33" customHeight="1">
      <c r="A7" s="347" t="s">
        <v>208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</row>
    <row r="8" spans="1:15" ht="15.75">
      <c r="A8" s="348" t="s">
        <v>317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5" ht="18.75" customHeight="1">
      <c r="A9" s="349" t="s">
        <v>209</v>
      </c>
      <c r="B9" s="349" t="s">
        <v>210</v>
      </c>
      <c r="C9" s="350" t="s">
        <v>72</v>
      </c>
      <c r="D9" s="350" t="s">
        <v>281</v>
      </c>
      <c r="E9" s="350"/>
      <c r="F9" s="350"/>
      <c r="G9" s="350"/>
      <c r="H9" s="350"/>
      <c r="I9" s="350"/>
      <c r="J9" s="350"/>
      <c r="K9" s="350"/>
      <c r="L9" s="350"/>
      <c r="M9" s="350"/>
      <c r="N9" s="350"/>
    </row>
    <row r="10" spans="1:15" ht="14.25" customHeight="1">
      <c r="A10" s="349"/>
      <c r="B10" s="349"/>
      <c r="C10" s="350"/>
      <c r="D10" s="351" t="s">
        <v>302</v>
      </c>
      <c r="E10" s="352"/>
      <c r="F10" s="352"/>
      <c r="G10" s="352"/>
      <c r="H10" s="352"/>
      <c r="I10" s="352"/>
      <c r="J10" s="352"/>
      <c r="K10" s="353"/>
      <c r="L10" s="166"/>
      <c r="M10" s="350" t="s">
        <v>300</v>
      </c>
      <c r="N10" s="350" t="s">
        <v>318</v>
      </c>
    </row>
    <row r="11" spans="1:15" ht="51.75" customHeight="1">
      <c r="A11" s="349"/>
      <c r="B11" s="349"/>
      <c r="C11" s="350"/>
      <c r="D11" s="166" t="s">
        <v>211</v>
      </c>
      <c r="E11" s="166" t="s">
        <v>212</v>
      </c>
      <c r="F11" s="166" t="s">
        <v>213</v>
      </c>
      <c r="G11" s="166" t="s">
        <v>189</v>
      </c>
      <c r="H11" s="166" t="s">
        <v>196</v>
      </c>
      <c r="I11" s="166" t="s">
        <v>291</v>
      </c>
      <c r="J11" s="166" t="s">
        <v>299</v>
      </c>
      <c r="K11" s="166" t="s">
        <v>312</v>
      </c>
      <c r="L11" s="166" t="s">
        <v>315</v>
      </c>
      <c r="M11" s="350"/>
      <c r="N11" s="350"/>
    </row>
    <row r="12" spans="1:15" ht="9.75" customHeight="1">
      <c r="A12" s="167" t="s">
        <v>190</v>
      </c>
      <c r="B12" s="167" t="s">
        <v>190</v>
      </c>
      <c r="C12" s="167" t="s">
        <v>191</v>
      </c>
      <c r="D12" s="168">
        <v>1</v>
      </c>
      <c r="E12" s="168">
        <v>2</v>
      </c>
      <c r="F12" s="168">
        <v>3</v>
      </c>
      <c r="G12" s="168">
        <v>4</v>
      </c>
      <c r="H12" s="168">
        <v>5</v>
      </c>
      <c r="I12" s="168">
        <v>6</v>
      </c>
      <c r="J12" s="168"/>
      <c r="K12" s="168"/>
      <c r="L12" s="168"/>
      <c r="M12" s="168">
        <v>6</v>
      </c>
      <c r="N12" s="168">
        <v>7</v>
      </c>
    </row>
    <row r="13" spans="1:15" s="154" customFormat="1" ht="18.75" customHeight="1">
      <c r="A13" s="150" t="s">
        <v>78</v>
      </c>
      <c r="B13" s="151" t="s">
        <v>214</v>
      </c>
      <c r="C13" s="152" t="s">
        <v>215</v>
      </c>
      <c r="D13" s="153">
        <v>0</v>
      </c>
      <c r="E13" s="153">
        <v>0</v>
      </c>
      <c r="F13" s="153">
        <v>49.708164966968113</v>
      </c>
      <c r="G13" s="153">
        <v>70.130203322429608</v>
      </c>
      <c r="H13" s="153">
        <v>74.876531332178828</v>
      </c>
      <c r="I13" s="153">
        <v>53.589999999999996</v>
      </c>
      <c r="J13" s="153">
        <v>91.01</v>
      </c>
      <c r="K13" s="153">
        <v>155.5</v>
      </c>
      <c r="L13" s="153">
        <v>76.16</v>
      </c>
      <c r="M13" s="153">
        <v>180.53</v>
      </c>
      <c r="N13" s="153">
        <v>152</v>
      </c>
    </row>
    <row r="14" spans="1:15" ht="15" hidden="1" customHeight="1">
      <c r="A14" s="155" t="s">
        <v>216</v>
      </c>
      <c r="B14" s="156" t="s">
        <v>217</v>
      </c>
      <c r="C14" s="157" t="s">
        <v>218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8"/>
      <c r="N14" s="158"/>
    </row>
    <row r="15" spans="1:15" s="136" customFormat="1" ht="15" customHeight="1">
      <c r="A15" s="155" t="s">
        <v>216</v>
      </c>
      <c r="B15" s="156" t="s">
        <v>219</v>
      </c>
      <c r="C15" s="157" t="s">
        <v>218</v>
      </c>
      <c r="D15" s="159"/>
      <c r="E15" s="159"/>
      <c r="F15" s="159">
        <v>49.708164966968113</v>
      </c>
      <c r="G15" s="159">
        <v>70.130203322429608</v>
      </c>
      <c r="H15" s="159">
        <v>74.876531332178828</v>
      </c>
      <c r="I15" s="159">
        <v>53.589999999999996</v>
      </c>
      <c r="J15" s="159">
        <v>91.01</v>
      </c>
      <c r="K15" s="159">
        <v>155.5</v>
      </c>
      <c r="L15" s="159">
        <v>76.16</v>
      </c>
      <c r="M15" s="159">
        <v>180.53</v>
      </c>
      <c r="N15" s="159">
        <v>152</v>
      </c>
    </row>
    <row r="16" spans="1:15" ht="15" hidden="1" customHeight="1">
      <c r="A16" s="137" t="s">
        <v>220</v>
      </c>
      <c r="B16" s="160" t="s">
        <v>221</v>
      </c>
      <c r="C16" s="161" t="s">
        <v>222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15" hidden="1" customHeight="1">
      <c r="A17" s="137" t="s">
        <v>223</v>
      </c>
      <c r="B17" s="160" t="s">
        <v>224</v>
      </c>
      <c r="C17" s="161" t="s">
        <v>225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4" customHeight="1">
      <c r="A18" s="137" t="s">
        <v>120</v>
      </c>
      <c r="B18" s="162" t="s">
        <v>226</v>
      </c>
      <c r="C18" s="163" t="s">
        <v>227</v>
      </c>
      <c r="D18" s="159"/>
      <c r="E18" s="159"/>
      <c r="F18" s="159">
        <v>2.0509588865371042</v>
      </c>
      <c r="G18" s="159">
        <v>2.8935721890834456</v>
      </c>
      <c r="H18" s="159">
        <v>3.0894056827656984</v>
      </c>
      <c r="I18" s="159">
        <v>0</v>
      </c>
      <c r="J18" s="159">
        <v>0</v>
      </c>
      <c r="K18" s="159">
        <v>5.9526799500000003</v>
      </c>
      <c r="L18" s="159">
        <v>0.37059989119999998</v>
      </c>
      <c r="M18" s="159">
        <v>6.91</v>
      </c>
      <c r="N18" s="159">
        <v>5.8186968000000006</v>
      </c>
    </row>
    <row r="19" spans="1:14" ht="18.75" customHeight="1">
      <c r="A19" s="137">
        <v>3</v>
      </c>
      <c r="B19" s="162" t="s">
        <v>228</v>
      </c>
      <c r="C19" s="163" t="s">
        <v>222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>
        <v>0</v>
      </c>
    </row>
    <row r="20" spans="1:14" ht="18" hidden="1" customHeight="1">
      <c r="A20" s="137">
        <v>4</v>
      </c>
      <c r="B20" s="160" t="s">
        <v>229</v>
      </c>
      <c r="C20" s="157" t="s">
        <v>230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</row>
    <row r="21" spans="1:14" s="154" customFormat="1" ht="30" customHeight="1">
      <c r="A21" s="150">
        <v>4</v>
      </c>
      <c r="B21" s="151" t="s">
        <v>231</v>
      </c>
      <c r="C21" s="152" t="s">
        <v>225</v>
      </c>
      <c r="D21" s="153">
        <v>0</v>
      </c>
      <c r="E21" s="153">
        <v>0</v>
      </c>
      <c r="F21" s="153">
        <v>47.65720608043101</v>
      </c>
      <c r="G21" s="153">
        <v>67.236631133346165</v>
      </c>
      <c r="H21" s="153">
        <v>71.787125649413127</v>
      </c>
      <c r="I21" s="153">
        <v>53.589999999999996</v>
      </c>
      <c r="J21" s="153">
        <v>91.01</v>
      </c>
      <c r="K21" s="153">
        <v>149.54732005</v>
      </c>
      <c r="L21" s="153">
        <v>75.789400108799995</v>
      </c>
      <c r="M21" s="153">
        <v>173.62</v>
      </c>
      <c r="N21" s="153">
        <v>146.1813032</v>
      </c>
    </row>
    <row r="22" spans="1:14" ht="15.75" hidden="1" customHeight="1">
      <c r="A22" s="137" t="s">
        <v>232</v>
      </c>
      <c r="B22" s="162" t="s">
        <v>233</v>
      </c>
      <c r="C22" s="163" t="s">
        <v>234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4" ht="29.25" customHeight="1">
      <c r="A23" s="137">
        <v>5</v>
      </c>
      <c r="B23" s="162" t="s">
        <v>235</v>
      </c>
      <c r="C23" s="163" t="s">
        <v>236</v>
      </c>
      <c r="D23" s="159">
        <v>0</v>
      </c>
      <c r="E23" s="159">
        <v>0</v>
      </c>
      <c r="F23" s="159">
        <v>4.0029985247899429</v>
      </c>
      <c r="G23" s="159">
        <v>5.647585273555257</v>
      </c>
      <c r="H23" s="159">
        <v>6.0298070681803617</v>
      </c>
      <c r="I23" s="159"/>
      <c r="J23" s="159"/>
      <c r="K23" s="159">
        <v>2.3938292000000003</v>
      </c>
      <c r="L23" s="159">
        <v>3.7096012799999998</v>
      </c>
      <c r="M23" s="159">
        <v>2.7800000000000002</v>
      </c>
      <c r="N23" s="159">
        <v>2.3399488000000002</v>
      </c>
    </row>
    <row r="24" spans="1:14" ht="15" customHeight="1">
      <c r="A24" s="137" t="s">
        <v>237</v>
      </c>
      <c r="B24" s="162" t="s">
        <v>238</v>
      </c>
      <c r="C24" s="163" t="s">
        <v>239</v>
      </c>
      <c r="D24" s="159"/>
      <c r="E24" s="159"/>
      <c r="F24" s="159">
        <v>1.3003655955358859</v>
      </c>
      <c r="G24" s="159">
        <v>1.8346061189147587</v>
      </c>
      <c r="H24" s="159">
        <v>1.9587700596497983</v>
      </c>
      <c r="I24" s="159"/>
      <c r="J24" s="159"/>
      <c r="K24" s="159">
        <v>1.8090559000000002</v>
      </c>
      <c r="L24" s="159">
        <v>3.3910239999999998</v>
      </c>
      <c r="M24" s="159">
        <v>2.1</v>
      </c>
      <c r="N24" s="159">
        <v>1.7683376000000002</v>
      </c>
    </row>
    <row r="25" spans="1:14" ht="15" customHeight="1">
      <c r="A25" s="137" t="s">
        <v>237</v>
      </c>
      <c r="B25" s="162" t="s">
        <v>240</v>
      </c>
      <c r="C25" s="163" t="s">
        <v>230</v>
      </c>
      <c r="D25" s="159"/>
      <c r="E25" s="159"/>
      <c r="F25" s="159">
        <v>2.7026329292540567</v>
      </c>
      <c r="G25" s="159">
        <v>3.8129791546404981</v>
      </c>
      <c r="H25" s="159">
        <v>4.0710370085305634</v>
      </c>
      <c r="I25" s="159"/>
      <c r="J25" s="159"/>
      <c r="K25" s="159">
        <v>0.58477330000000005</v>
      </c>
      <c r="L25" s="159">
        <v>0.31857727999999996</v>
      </c>
      <c r="M25" s="159">
        <v>0.68</v>
      </c>
      <c r="N25" s="159">
        <v>0.57161119999999999</v>
      </c>
    </row>
    <row r="26" spans="1:14" ht="29.25" customHeight="1">
      <c r="A26" s="137">
        <v>6</v>
      </c>
      <c r="B26" s="162" t="s">
        <v>241</v>
      </c>
      <c r="C26" s="163" t="s">
        <v>242</v>
      </c>
      <c r="D26" s="159"/>
      <c r="E26" s="159"/>
      <c r="F26" s="159">
        <v>4.9042075556410731</v>
      </c>
      <c r="G26" s="159">
        <v>6.9190458597909039</v>
      </c>
      <c r="H26" s="159">
        <v>7.3873185812327611</v>
      </c>
      <c r="I26" s="159">
        <v>5.3</v>
      </c>
      <c r="J26" s="159">
        <v>26.2</v>
      </c>
      <c r="K26" s="159">
        <v>28.24</v>
      </c>
      <c r="L26" s="159">
        <v>32.85</v>
      </c>
      <c r="M26" s="159">
        <v>50.52</v>
      </c>
      <c r="N26" s="159">
        <v>42.537838399999998</v>
      </c>
    </row>
    <row r="27" spans="1:14" s="154" customFormat="1" ht="40.5" customHeight="1">
      <c r="A27" s="150">
        <v>7</v>
      </c>
      <c r="B27" s="151" t="s">
        <v>243</v>
      </c>
      <c r="C27" s="152" t="s">
        <v>234</v>
      </c>
      <c r="D27" s="153">
        <v>0</v>
      </c>
      <c r="E27" s="153">
        <v>0</v>
      </c>
      <c r="F27" s="153">
        <v>38.749999999999993</v>
      </c>
      <c r="G27" s="153">
        <v>54.67</v>
      </c>
      <c r="H27" s="153">
        <v>58.370000000000005</v>
      </c>
      <c r="I27" s="153">
        <v>48.29</v>
      </c>
      <c r="J27" s="153">
        <v>64.81</v>
      </c>
      <c r="K27" s="153">
        <v>118.91349085</v>
      </c>
      <c r="L27" s="153">
        <v>39.229798828799993</v>
      </c>
      <c r="M27" s="153">
        <v>120.32</v>
      </c>
      <c r="N27" s="153">
        <v>101.303516</v>
      </c>
    </row>
    <row r="28" spans="1:14" ht="15" customHeight="1">
      <c r="A28" s="137" t="s">
        <v>244</v>
      </c>
      <c r="B28" s="162" t="s">
        <v>164</v>
      </c>
      <c r="C28" s="163" t="s">
        <v>245</v>
      </c>
      <c r="D28" s="159"/>
      <c r="E28" s="159"/>
      <c r="F28" s="159">
        <v>36.47</v>
      </c>
      <c r="G28" s="159">
        <v>51.68</v>
      </c>
      <c r="H28" s="159">
        <v>54.18</v>
      </c>
      <c r="I28" s="159">
        <v>43.93</v>
      </c>
      <c r="J28" s="159">
        <v>58.9</v>
      </c>
      <c r="K28" s="159">
        <v>108.7</v>
      </c>
      <c r="L28" s="159">
        <v>31.52</v>
      </c>
      <c r="M28" s="159">
        <v>109.58</v>
      </c>
      <c r="N28" s="159">
        <v>84.72999999999999</v>
      </c>
    </row>
    <row r="29" spans="1:14" ht="15" customHeight="1">
      <c r="A29" s="137" t="s">
        <v>246</v>
      </c>
      <c r="B29" s="164" t="s">
        <v>247</v>
      </c>
      <c r="C29" s="163" t="s">
        <v>248</v>
      </c>
      <c r="D29" s="159"/>
      <c r="E29" s="159"/>
      <c r="F29" s="159">
        <v>1.73</v>
      </c>
      <c r="G29" s="159">
        <v>1.75</v>
      </c>
      <c r="H29" s="159">
        <v>1.63</v>
      </c>
      <c r="I29" s="159">
        <v>1.54</v>
      </c>
      <c r="J29" s="159">
        <v>2.35</v>
      </c>
      <c r="K29" s="159">
        <v>6.8</v>
      </c>
      <c r="L29" s="159">
        <v>4.34</v>
      </c>
      <c r="M29" s="159">
        <v>7.73</v>
      </c>
      <c r="N29" s="159">
        <v>9.8000000000000007</v>
      </c>
    </row>
    <row r="30" spans="1:14">
      <c r="A30" s="137" t="s">
        <v>249</v>
      </c>
      <c r="B30" s="162" t="s">
        <v>170</v>
      </c>
      <c r="C30" s="163" t="s">
        <v>250</v>
      </c>
      <c r="D30" s="159"/>
      <c r="E30" s="159"/>
      <c r="F30" s="159">
        <v>0.55000000000000004</v>
      </c>
      <c r="G30" s="159">
        <v>1.24</v>
      </c>
      <c r="H30" s="159">
        <v>2.56</v>
      </c>
      <c r="I30" s="159">
        <v>2.82</v>
      </c>
      <c r="J30" s="159">
        <v>3.56</v>
      </c>
      <c r="K30" s="159">
        <v>3.41</v>
      </c>
      <c r="L30" s="159">
        <v>3.37</v>
      </c>
      <c r="M30" s="159">
        <v>3.01</v>
      </c>
      <c r="N30" s="159">
        <v>6.77</v>
      </c>
    </row>
    <row r="31" spans="1:14">
      <c r="A31" s="137"/>
      <c r="B31" s="162"/>
      <c r="C31" s="163" t="s">
        <v>251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4" s="154" customFormat="1" ht="29.25" customHeight="1">
      <c r="A32" s="150">
        <v>8</v>
      </c>
      <c r="B32" s="151" t="s">
        <v>252</v>
      </c>
      <c r="C32" s="152" t="s">
        <v>253</v>
      </c>
      <c r="D32" s="153">
        <v>0</v>
      </c>
      <c r="E32" s="153">
        <v>0</v>
      </c>
      <c r="F32" s="153">
        <v>0</v>
      </c>
      <c r="G32" s="153">
        <v>0</v>
      </c>
      <c r="H32" s="153">
        <v>9.67</v>
      </c>
      <c r="I32" s="153">
        <v>8.33</v>
      </c>
      <c r="J32" s="153">
        <v>11.85</v>
      </c>
      <c r="K32" s="153">
        <v>34.64</v>
      </c>
      <c r="L32" s="153">
        <v>17.059999999999999</v>
      </c>
      <c r="M32" s="153">
        <v>48.64</v>
      </c>
      <c r="N32" s="153">
        <v>38.35</v>
      </c>
    </row>
    <row r="33" spans="1:14" ht="18.75" customHeight="1">
      <c r="A33" s="137" t="s">
        <v>254</v>
      </c>
      <c r="B33" s="162" t="s">
        <v>255</v>
      </c>
      <c r="C33" s="163" t="s">
        <v>256</v>
      </c>
      <c r="D33" s="159"/>
      <c r="E33" s="159"/>
      <c r="F33" s="159"/>
      <c r="G33" s="159"/>
      <c r="H33" s="159">
        <v>9.67</v>
      </c>
      <c r="I33" s="159">
        <v>8.33</v>
      </c>
      <c r="J33" s="159">
        <v>11.85</v>
      </c>
      <c r="K33" s="159">
        <v>34.64</v>
      </c>
      <c r="L33" s="159">
        <v>17.059999999999999</v>
      </c>
      <c r="M33" s="159">
        <v>48.64</v>
      </c>
      <c r="N33" s="159">
        <v>38.35</v>
      </c>
    </row>
    <row r="34" spans="1:14" s="154" customFormat="1" ht="41.25" customHeight="1">
      <c r="A34" s="150">
        <v>9</v>
      </c>
      <c r="B34" s="151" t="s">
        <v>257</v>
      </c>
      <c r="C34" s="152" t="s">
        <v>258</v>
      </c>
      <c r="D34" s="153">
        <v>0</v>
      </c>
      <c r="E34" s="153">
        <v>0</v>
      </c>
      <c r="F34" s="153">
        <v>0</v>
      </c>
      <c r="G34" s="153">
        <v>0</v>
      </c>
      <c r="H34" s="153">
        <v>7.92</v>
      </c>
      <c r="I34" s="153">
        <v>7.1300000000000008</v>
      </c>
      <c r="J34" s="153">
        <v>10.65</v>
      </c>
      <c r="K34" s="153">
        <v>33.44</v>
      </c>
      <c r="L34" s="153">
        <v>15.86</v>
      </c>
      <c r="M34" s="153">
        <v>46.910000000000004</v>
      </c>
      <c r="N34" s="153">
        <v>38.35</v>
      </c>
    </row>
    <row r="35" spans="1:14" ht="18" customHeight="1">
      <c r="A35" s="137" t="s">
        <v>259</v>
      </c>
      <c r="B35" s="162" t="s">
        <v>164</v>
      </c>
      <c r="C35" s="163" t="s">
        <v>260</v>
      </c>
      <c r="D35" s="159"/>
      <c r="E35" s="159"/>
      <c r="F35" s="159">
        <v>0</v>
      </c>
      <c r="G35" s="159">
        <v>0</v>
      </c>
      <c r="H35" s="159">
        <v>3.55</v>
      </c>
      <c r="I35" s="159">
        <v>4.9400000000000004</v>
      </c>
      <c r="J35" s="159">
        <v>8.4700000000000006</v>
      </c>
      <c r="K35" s="159">
        <v>29.15</v>
      </c>
      <c r="L35" s="159">
        <v>12.56</v>
      </c>
      <c r="M35" s="159">
        <v>42.34</v>
      </c>
      <c r="N35" s="159">
        <v>31.400000000000002</v>
      </c>
    </row>
    <row r="36" spans="1:14" ht="15" customHeight="1">
      <c r="A36" s="137" t="s">
        <v>261</v>
      </c>
      <c r="B36" s="164" t="s">
        <v>247</v>
      </c>
      <c r="C36" s="163" t="s">
        <v>262</v>
      </c>
      <c r="D36" s="159"/>
      <c r="E36" s="159"/>
      <c r="F36" s="159">
        <v>0</v>
      </c>
      <c r="G36" s="159">
        <v>0</v>
      </c>
      <c r="H36" s="159">
        <v>0</v>
      </c>
      <c r="I36" s="159">
        <v>0</v>
      </c>
      <c r="J36" s="159">
        <v>0.96</v>
      </c>
      <c r="K36" s="159">
        <v>2.7</v>
      </c>
      <c r="L36" s="159">
        <v>1.7</v>
      </c>
      <c r="M36" s="159">
        <v>3.32</v>
      </c>
      <c r="N36" s="159">
        <v>3.45</v>
      </c>
    </row>
    <row r="37" spans="1:14" ht="12.75" customHeight="1">
      <c r="A37" s="137" t="s">
        <v>263</v>
      </c>
      <c r="B37" s="162" t="s">
        <v>170</v>
      </c>
      <c r="C37" s="163" t="s">
        <v>251</v>
      </c>
      <c r="D37" s="159"/>
      <c r="E37" s="159"/>
      <c r="F37" s="159">
        <v>0</v>
      </c>
      <c r="G37" s="159">
        <v>0</v>
      </c>
      <c r="H37" s="159">
        <v>4.37</v>
      </c>
      <c r="I37" s="159">
        <v>2.19</v>
      </c>
      <c r="J37" s="159">
        <v>1.22</v>
      </c>
      <c r="K37" s="159">
        <v>1.59</v>
      </c>
      <c r="L37" s="159">
        <v>1.6</v>
      </c>
      <c r="M37" s="159">
        <v>1.25</v>
      </c>
      <c r="N37" s="159">
        <v>3.5</v>
      </c>
    </row>
    <row r="38" spans="1:14" ht="12.75" hidden="1" customHeight="1">
      <c r="A38" s="137"/>
      <c r="B38" s="162"/>
      <c r="C38" s="163" t="s">
        <v>264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</row>
    <row r="39" spans="1:14" ht="31.5" customHeight="1">
      <c r="A39" s="165"/>
      <c r="B39" s="143" t="s">
        <v>183</v>
      </c>
      <c r="C39" s="140"/>
      <c r="D39" s="134"/>
      <c r="E39" s="134"/>
      <c r="G39" s="134"/>
      <c r="H39" s="134"/>
      <c r="I39" s="134"/>
      <c r="J39" s="135" t="s">
        <v>316</v>
      </c>
      <c r="K39" s="134"/>
      <c r="L39" s="134"/>
      <c r="M39" s="134"/>
    </row>
  </sheetData>
  <sheetProtection selectLockedCells="1" selectUnlockedCells="1"/>
  <mergeCells count="9">
    <mergeCell ref="A7:N7"/>
    <mergeCell ref="A8:N8"/>
    <mergeCell ref="A9:A11"/>
    <mergeCell ref="B9:B11"/>
    <mergeCell ref="C9:C11"/>
    <mergeCell ref="D9:N9"/>
    <mergeCell ref="M10:M11"/>
    <mergeCell ref="N10:N11"/>
    <mergeCell ref="D10:K10"/>
  </mergeCells>
  <phoneticPr fontId="55" type="noConversion"/>
  <pageMargins left="0.4597222222222222" right="0.15" top="0.57986111111111116" bottom="0.32013888888888886" header="0.51180555555555551" footer="0.51180555555555551"/>
  <pageSetup paperSize="9" scale="92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75"/>
  <sheetViews>
    <sheetView topLeftCell="A27" zoomScale="110" zoomScaleNormal="110" workbookViewId="0">
      <selection activeCell="R45" sqref="R45"/>
    </sheetView>
  </sheetViews>
  <sheetFormatPr defaultColWidth="9.140625" defaultRowHeight="12.75"/>
  <cols>
    <col min="1" max="1" width="4.7109375" style="84" customWidth="1"/>
    <col min="2" max="2" width="25.28515625" style="84" customWidth="1"/>
    <col min="3" max="3" width="8" style="84" customWidth="1"/>
    <col min="4" max="4" width="7" style="84" customWidth="1"/>
    <col min="5" max="5" width="8" style="84" customWidth="1"/>
    <col min="6" max="6" width="6.140625" style="84" customWidth="1"/>
    <col min="7" max="7" width="7.140625" style="84" customWidth="1"/>
    <col min="8" max="8" width="6.140625" style="84" customWidth="1"/>
    <col min="9" max="9" width="8" style="84" customWidth="1"/>
    <col min="10" max="10" width="6.5703125" style="84" customWidth="1"/>
    <col min="11" max="11" width="7.85546875" style="84" customWidth="1"/>
    <col min="12" max="12" width="6.140625" style="84" customWidth="1"/>
    <col min="13" max="13" width="7.140625" style="84" customWidth="1"/>
    <col min="14" max="14" width="5.7109375" style="84" customWidth="1"/>
    <col min="15" max="15" width="9.5703125" style="84" customWidth="1"/>
    <col min="16" max="16" width="7.28515625" style="84" customWidth="1"/>
    <col min="17" max="16384" width="9.140625" style="84"/>
  </cols>
  <sheetData>
    <row r="1" spans="1:16">
      <c r="L1" s="2"/>
    </row>
    <row r="2" spans="1:16" ht="15.75" customHeight="1">
      <c r="B2" s="348" t="s">
        <v>271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6" ht="15.75">
      <c r="A3" s="138"/>
      <c r="B3" s="348" t="s">
        <v>278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6" ht="13.5" thickBot="1">
      <c r="A4" s="139"/>
      <c r="K4" s="136" t="s">
        <v>188</v>
      </c>
      <c r="L4" s="86"/>
    </row>
    <row r="5" spans="1:16" ht="14.25" customHeight="1">
      <c r="A5" s="359" t="s">
        <v>70</v>
      </c>
      <c r="B5" s="359" t="s">
        <v>71</v>
      </c>
      <c r="C5" s="360" t="s">
        <v>184</v>
      </c>
      <c r="D5" s="361"/>
      <c r="E5" s="361"/>
      <c r="F5" s="361"/>
      <c r="G5" s="362"/>
      <c r="H5" s="362"/>
      <c r="I5" s="356" t="s">
        <v>185</v>
      </c>
      <c r="J5" s="357"/>
      <c r="K5" s="357"/>
      <c r="L5" s="357"/>
      <c r="M5" s="357"/>
      <c r="N5" s="358"/>
    </row>
    <row r="6" spans="1:16" ht="24" customHeight="1">
      <c r="A6" s="359"/>
      <c r="B6" s="359"/>
      <c r="C6" s="365" t="s">
        <v>320</v>
      </c>
      <c r="D6" s="364"/>
      <c r="E6" s="364" t="s">
        <v>319</v>
      </c>
      <c r="F6" s="364"/>
      <c r="G6" s="366" t="s">
        <v>305</v>
      </c>
      <c r="H6" s="367"/>
      <c r="I6" s="363" t="s">
        <v>320</v>
      </c>
      <c r="J6" s="364"/>
      <c r="K6" s="364" t="s">
        <v>319</v>
      </c>
      <c r="L6" s="364"/>
      <c r="M6" s="354" t="s">
        <v>305</v>
      </c>
      <c r="N6" s="355"/>
    </row>
    <row r="7" spans="1:16" ht="30.75" customHeight="1">
      <c r="A7" s="359"/>
      <c r="B7" s="359"/>
      <c r="C7" s="313" t="s">
        <v>276</v>
      </c>
      <c r="D7" s="314" t="s">
        <v>282</v>
      </c>
      <c r="E7" s="315" t="s">
        <v>276</v>
      </c>
      <c r="F7" s="314" t="s">
        <v>282</v>
      </c>
      <c r="G7" s="316" t="s">
        <v>277</v>
      </c>
      <c r="H7" s="317" t="s">
        <v>49</v>
      </c>
      <c r="I7" s="318" t="s">
        <v>276</v>
      </c>
      <c r="J7" s="314" t="s">
        <v>282</v>
      </c>
      <c r="K7" s="315" t="s">
        <v>276</v>
      </c>
      <c r="L7" s="314" t="s">
        <v>282</v>
      </c>
      <c r="M7" s="316" t="s">
        <v>206</v>
      </c>
      <c r="N7" s="316" t="s">
        <v>49</v>
      </c>
    </row>
    <row r="8" spans="1:16" hidden="1">
      <c r="A8" s="303" t="s">
        <v>190</v>
      </c>
      <c r="B8" s="303" t="s">
        <v>191</v>
      </c>
      <c r="C8" s="299"/>
      <c r="D8" s="226"/>
      <c r="E8" s="181"/>
      <c r="F8" s="226"/>
      <c r="G8" s="191"/>
      <c r="H8" s="275"/>
      <c r="I8" s="215"/>
      <c r="J8" s="226"/>
      <c r="K8" s="181"/>
      <c r="L8" s="226"/>
      <c r="M8" s="191"/>
      <c r="N8" s="191"/>
    </row>
    <row r="9" spans="1:16" ht="25.5">
      <c r="A9" s="304" t="s">
        <v>78</v>
      </c>
      <c r="B9" s="305" t="s">
        <v>197</v>
      </c>
      <c r="C9" s="300" t="e">
        <f>#REF!</f>
        <v>#REF!</v>
      </c>
      <c r="D9" s="232" t="e">
        <f>#REF!</f>
        <v>#REF!</v>
      </c>
      <c r="E9" s="183" t="e">
        <f>#REF!</f>
        <v>#REF!</v>
      </c>
      <c r="F9" s="232" t="e">
        <f>#REF!</f>
        <v>#REF!</v>
      </c>
      <c r="G9" s="192" t="e">
        <f t="shared" ref="G9:G27" si="0">E9-C9</f>
        <v>#REF!</v>
      </c>
      <c r="H9" s="276" t="e">
        <f>E9/C9*100</f>
        <v>#REF!</v>
      </c>
      <c r="I9" s="216" t="e">
        <f>I10+I14+I15+I19</f>
        <v>#REF!</v>
      </c>
      <c r="J9" s="227" t="e">
        <f t="shared" ref="J9:J26" si="1">I9/$I$27</f>
        <v>#REF!</v>
      </c>
      <c r="K9" s="183" t="e">
        <f>K10+K14+K15+K19</f>
        <v>#REF!</v>
      </c>
      <c r="L9" s="227" t="e">
        <f t="shared" ref="L9:L26" si="2">K9/$K$27</f>
        <v>#REF!</v>
      </c>
      <c r="M9" s="192" t="e">
        <f>K9-I9</f>
        <v>#REF!</v>
      </c>
      <c r="N9" s="236" t="e">
        <f>K9/I9*100</f>
        <v>#REF!</v>
      </c>
      <c r="O9" s="122" t="e">
        <f>G9+M9</f>
        <v>#REF!</v>
      </c>
      <c r="P9" s="99" t="e">
        <f>(E9+K9)/(C9+I9)*100</f>
        <v>#REF!</v>
      </c>
    </row>
    <row r="10" spans="1:16" ht="30" customHeight="1">
      <c r="A10" s="301" t="s">
        <v>81</v>
      </c>
      <c r="B10" s="302" t="s">
        <v>198</v>
      </c>
      <c r="C10" s="217" t="e">
        <f>#REF!</f>
        <v>#REF!</v>
      </c>
      <c r="D10" s="228" t="e">
        <f>#REF!</f>
        <v>#REF!</v>
      </c>
      <c r="E10" s="186" t="e">
        <f>#REF!</f>
        <v>#REF!</v>
      </c>
      <c r="F10" s="228" t="e">
        <f>#REF!</f>
        <v>#REF!</v>
      </c>
      <c r="G10" s="194" t="e">
        <f t="shared" si="0"/>
        <v>#REF!</v>
      </c>
      <c r="H10" s="277" t="e">
        <f t="shared" ref="H10:H34" si="3">E10/C10*100</f>
        <v>#REF!</v>
      </c>
      <c r="I10" s="217" t="e">
        <f>I12+I13</f>
        <v>#REF!</v>
      </c>
      <c r="J10" s="228" t="e">
        <f t="shared" si="1"/>
        <v>#REF!</v>
      </c>
      <c r="K10" s="186" t="e">
        <f>K12+K13+K11</f>
        <v>#REF!</v>
      </c>
      <c r="L10" s="228" t="e">
        <f t="shared" si="2"/>
        <v>#REF!</v>
      </c>
      <c r="M10" s="194" t="e">
        <f t="shared" ref="M10:M34" si="4">K10-I10</f>
        <v>#REF!</v>
      </c>
      <c r="N10" s="237" t="e">
        <f t="shared" ref="N10:N34" si="5">K10/I10*100</f>
        <v>#REF!</v>
      </c>
      <c r="O10" s="122" t="e">
        <f>G10+M10</f>
        <v>#REF!</v>
      </c>
      <c r="P10" s="99" t="e">
        <f>(E10+K10)/(C10+I10)*100</f>
        <v>#REF!</v>
      </c>
    </row>
    <row r="11" spans="1:16" ht="30" customHeight="1">
      <c r="A11" s="301" t="s">
        <v>81</v>
      </c>
      <c r="B11" s="306" t="s">
        <v>308</v>
      </c>
      <c r="C11" s="217"/>
      <c r="D11" s="228"/>
      <c r="E11" s="186"/>
      <c r="F11" s="228"/>
      <c r="G11" s="194"/>
      <c r="H11" s="277"/>
      <c r="I11" s="217"/>
      <c r="J11" s="228"/>
      <c r="K11" s="186" t="e">
        <f>#REF!</f>
        <v>#REF!</v>
      </c>
      <c r="L11" s="228" t="e">
        <f t="shared" ref="L11" si="6">K11/$K$27</f>
        <v>#REF!</v>
      </c>
      <c r="M11" s="194" t="e">
        <f t="shared" ref="M11" si="7">K11-I11</f>
        <v>#REF!</v>
      </c>
      <c r="N11" s="237"/>
      <c r="O11" s="122"/>
      <c r="P11" s="99"/>
    </row>
    <row r="12" spans="1:16" ht="18" customHeight="1">
      <c r="A12" s="193" t="s">
        <v>192</v>
      </c>
      <c r="B12" s="178" t="s">
        <v>85</v>
      </c>
      <c r="C12" s="217" t="e">
        <f>#REF!</f>
        <v>#REF!</v>
      </c>
      <c r="D12" s="228" t="e">
        <f>#REF!</f>
        <v>#REF!</v>
      </c>
      <c r="E12" s="186" t="e">
        <f>#REF!</f>
        <v>#REF!</v>
      </c>
      <c r="F12" s="228" t="e">
        <f>#REF!</f>
        <v>#REF!</v>
      </c>
      <c r="G12" s="194" t="e">
        <f t="shared" si="0"/>
        <v>#REF!</v>
      </c>
      <c r="H12" s="277" t="e">
        <f t="shared" si="3"/>
        <v>#REF!</v>
      </c>
      <c r="I12" s="217" t="e">
        <f>#REF!</f>
        <v>#REF!</v>
      </c>
      <c r="J12" s="228" t="e">
        <f t="shared" si="1"/>
        <v>#REF!</v>
      </c>
      <c r="K12" s="186" t="e">
        <f>#REF!</f>
        <v>#REF!</v>
      </c>
      <c r="L12" s="228" t="e">
        <f t="shared" si="2"/>
        <v>#REF!</v>
      </c>
      <c r="M12" s="194" t="e">
        <f t="shared" si="4"/>
        <v>#REF!</v>
      </c>
      <c r="N12" s="237" t="e">
        <f t="shared" si="5"/>
        <v>#REF!</v>
      </c>
      <c r="O12" s="122" t="e">
        <f t="shared" ref="O12:O27" si="8">G12+M12</f>
        <v>#REF!</v>
      </c>
      <c r="P12" s="99" t="e">
        <f t="shared" ref="P12:P27" si="9">(E12+K12)/(C12+I12)*100</f>
        <v>#REF!</v>
      </c>
    </row>
    <row r="13" spans="1:16" ht="26.25" customHeight="1">
      <c r="A13" s="193" t="s">
        <v>199</v>
      </c>
      <c r="B13" s="178" t="s">
        <v>193</v>
      </c>
      <c r="C13" s="217" t="e">
        <f>#REF!</f>
        <v>#REF!</v>
      </c>
      <c r="D13" s="228" t="e">
        <f>#REF!</f>
        <v>#REF!</v>
      </c>
      <c r="E13" s="186" t="e">
        <f>#REF!</f>
        <v>#REF!</v>
      </c>
      <c r="F13" s="228" t="e">
        <f>#REF!</f>
        <v>#REF!</v>
      </c>
      <c r="G13" s="194" t="e">
        <f t="shared" si="0"/>
        <v>#REF!</v>
      </c>
      <c r="H13" s="277" t="e">
        <f t="shared" si="3"/>
        <v>#REF!</v>
      </c>
      <c r="I13" s="217" t="e">
        <f>#REF!</f>
        <v>#REF!</v>
      </c>
      <c r="J13" s="228" t="e">
        <f t="shared" si="1"/>
        <v>#REF!</v>
      </c>
      <c r="K13" s="186" t="e">
        <f>#REF!</f>
        <v>#REF!</v>
      </c>
      <c r="L13" s="228" t="e">
        <f t="shared" si="2"/>
        <v>#REF!</v>
      </c>
      <c r="M13" s="194" t="e">
        <f t="shared" si="4"/>
        <v>#REF!</v>
      </c>
      <c r="N13" s="237"/>
      <c r="O13" s="122" t="e">
        <f t="shared" si="8"/>
        <v>#REF!</v>
      </c>
      <c r="P13" s="99" t="e">
        <f t="shared" si="9"/>
        <v>#REF!</v>
      </c>
    </row>
    <row r="14" spans="1:16" ht="18" customHeight="1">
      <c r="A14" s="193" t="s">
        <v>93</v>
      </c>
      <c r="B14" s="178" t="s">
        <v>200</v>
      </c>
      <c r="C14" s="217" t="e">
        <f>#REF!</f>
        <v>#REF!</v>
      </c>
      <c r="D14" s="228" t="e">
        <f>#REF!</f>
        <v>#REF!</v>
      </c>
      <c r="E14" s="186" t="e">
        <f>#REF!</f>
        <v>#REF!</v>
      </c>
      <c r="F14" s="228" t="e">
        <f>#REF!</f>
        <v>#REF!</v>
      </c>
      <c r="G14" s="194" t="e">
        <f t="shared" si="0"/>
        <v>#REF!</v>
      </c>
      <c r="H14" s="277" t="e">
        <f t="shared" si="3"/>
        <v>#REF!</v>
      </c>
      <c r="I14" s="217" t="e">
        <f>#REF!</f>
        <v>#REF!</v>
      </c>
      <c r="J14" s="228" t="e">
        <f t="shared" si="1"/>
        <v>#REF!</v>
      </c>
      <c r="K14" s="186" t="e">
        <f>#REF!</f>
        <v>#REF!</v>
      </c>
      <c r="L14" s="228" t="e">
        <f t="shared" si="2"/>
        <v>#REF!</v>
      </c>
      <c r="M14" s="194" t="e">
        <f t="shared" si="4"/>
        <v>#REF!</v>
      </c>
      <c r="N14" s="237" t="e">
        <f t="shared" si="5"/>
        <v>#REF!</v>
      </c>
      <c r="O14" s="122" t="e">
        <f>G14+M14</f>
        <v>#REF!</v>
      </c>
      <c r="P14" s="99" t="e">
        <f t="shared" si="9"/>
        <v>#REF!</v>
      </c>
    </row>
    <row r="15" spans="1:16" ht="18" customHeight="1">
      <c r="A15" s="193" t="s">
        <v>96</v>
      </c>
      <c r="B15" s="178" t="s">
        <v>201</v>
      </c>
      <c r="C15" s="217" t="e">
        <f>#REF!</f>
        <v>#REF!</v>
      </c>
      <c r="D15" s="228" t="e">
        <f>#REF!</f>
        <v>#REF!</v>
      </c>
      <c r="E15" s="186" t="e">
        <f>#REF!</f>
        <v>#REF!</v>
      </c>
      <c r="F15" s="228" t="e">
        <f>#REF!</f>
        <v>#REF!</v>
      </c>
      <c r="G15" s="194" t="e">
        <f t="shared" si="0"/>
        <v>#REF!</v>
      </c>
      <c r="H15" s="277" t="e">
        <f t="shared" si="3"/>
        <v>#REF!</v>
      </c>
      <c r="I15" s="217" t="e">
        <f>I16+I17+I18</f>
        <v>#REF!</v>
      </c>
      <c r="J15" s="228" t="e">
        <f t="shared" si="1"/>
        <v>#REF!</v>
      </c>
      <c r="K15" s="186" t="e">
        <f>K16+K17+K18</f>
        <v>#REF!</v>
      </c>
      <c r="L15" s="228" t="e">
        <f t="shared" si="2"/>
        <v>#REF!</v>
      </c>
      <c r="M15" s="194" t="e">
        <f t="shared" si="4"/>
        <v>#REF!</v>
      </c>
      <c r="N15" s="237" t="e">
        <f t="shared" si="5"/>
        <v>#REF!</v>
      </c>
      <c r="O15" s="122" t="e">
        <f t="shared" si="8"/>
        <v>#REF!</v>
      </c>
      <c r="P15" s="99" t="e">
        <f t="shared" si="9"/>
        <v>#REF!</v>
      </c>
    </row>
    <row r="16" spans="1:16" ht="58.5" customHeight="1">
      <c r="A16" s="193" t="s">
        <v>99</v>
      </c>
      <c r="B16" s="179" t="s">
        <v>194</v>
      </c>
      <c r="C16" s="217" t="e">
        <f>#REF!</f>
        <v>#REF!</v>
      </c>
      <c r="D16" s="228" t="e">
        <f>#REF!</f>
        <v>#REF!</v>
      </c>
      <c r="E16" s="186" t="e">
        <f>#REF!</f>
        <v>#REF!</v>
      </c>
      <c r="F16" s="228" t="e">
        <f>#REF!</f>
        <v>#REF!</v>
      </c>
      <c r="G16" s="194" t="e">
        <f t="shared" si="0"/>
        <v>#REF!</v>
      </c>
      <c r="H16" s="277" t="e">
        <f t="shared" si="3"/>
        <v>#REF!</v>
      </c>
      <c r="I16" s="217" t="e">
        <f>#REF!</f>
        <v>#REF!</v>
      </c>
      <c r="J16" s="228" t="e">
        <f t="shared" si="1"/>
        <v>#REF!</v>
      </c>
      <c r="K16" s="186" t="e">
        <f>#REF!</f>
        <v>#REF!</v>
      </c>
      <c r="L16" s="228" t="e">
        <f t="shared" si="2"/>
        <v>#REF!</v>
      </c>
      <c r="M16" s="194" t="e">
        <f t="shared" si="4"/>
        <v>#REF!</v>
      </c>
      <c r="N16" s="237" t="e">
        <f t="shared" si="5"/>
        <v>#REF!</v>
      </c>
      <c r="O16" s="122" t="e">
        <f t="shared" si="8"/>
        <v>#REF!</v>
      </c>
      <c r="P16" s="99" t="e">
        <f t="shared" si="9"/>
        <v>#REF!</v>
      </c>
    </row>
    <row r="17" spans="1:18" ht="26.25" customHeight="1">
      <c r="A17" s="195" t="s">
        <v>102</v>
      </c>
      <c r="B17" s="180" t="s">
        <v>285</v>
      </c>
      <c r="C17" s="217" t="e">
        <f>#REF!</f>
        <v>#REF!</v>
      </c>
      <c r="D17" s="228" t="e">
        <f>#REF!</f>
        <v>#REF!</v>
      </c>
      <c r="E17" s="186" t="e">
        <f>#REF!</f>
        <v>#REF!</v>
      </c>
      <c r="F17" s="228" t="e">
        <f>#REF!</f>
        <v>#REF!</v>
      </c>
      <c r="G17" s="194" t="e">
        <f t="shared" si="0"/>
        <v>#REF!</v>
      </c>
      <c r="H17" s="277" t="e">
        <f t="shared" si="3"/>
        <v>#REF!</v>
      </c>
      <c r="I17" s="217" t="e">
        <f>#REF!</f>
        <v>#REF!</v>
      </c>
      <c r="J17" s="228" t="e">
        <f t="shared" si="1"/>
        <v>#REF!</v>
      </c>
      <c r="K17" s="186" t="e">
        <f>#REF!</f>
        <v>#REF!</v>
      </c>
      <c r="L17" s="228" t="e">
        <f t="shared" si="2"/>
        <v>#REF!</v>
      </c>
      <c r="M17" s="194" t="e">
        <f t="shared" si="4"/>
        <v>#REF!</v>
      </c>
      <c r="N17" s="237"/>
      <c r="O17" s="122" t="e">
        <f t="shared" si="8"/>
        <v>#REF!</v>
      </c>
      <c r="P17" s="99" t="e">
        <f t="shared" si="9"/>
        <v>#REF!</v>
      </c>
    </row>
    <row r="18" spans="1:18" ht="25.5" hidden="1">
      <c r="A18" s="193" t="s">
        <v>105</v>
      </c>
      <c r="B18" s="179" t="s">
        <v>109</v>
      </c>
      <c r="C18" s="217" t="e">
        <f>#REF!</f>
        <v>#REF!</v>
      </c>
      <c r="D18" s="228" t="e">
        <f>#REF!</f>
        <v>#REF!</v>
      </c>
      <c r="E18" s="186" t="e">
        <f>#REF!</f>
        <v>#REF!</v>
      </c>
      <c r="F18" s="228" t="e">
        <f>#REF!</f>
        <v>#REF!</v>
      </c>
      <c r="G18" s="194" t="e">
        <f t="shared" si="0"/>
        <v>#REF!</v>
      </c>
      <c r="H18" s="277" t="e">
        <f t="shared" si="3"/>
        <v>#REF!</v>
      </c>
      <c r="I18" s="217" t="e">
        <f>#REF!+#REF!</f>
        <v>#REF!</v>
      </c>
      <c r="J18" s="228" t="e">
        <f t="shared" si="1"/>
        <v>#REF!</v>
      </c>
      <c r="K18" s="186" t="e">
        <f>#REF!</f>
        <v>#REF!</v>
      </c>
      <c r="L18" s="228" t="e">
        <f t="shared" si="2"/>
        <v>#REF!</v>
      </c>
      <c r="M18" s="194" t="e">
        <f t="shared" si="4"/>
        <v>#REF!</v>
      </c>
      <c r="N18" s="237" t="e">
        <f t="shared" si="5"/>
        <v>#REF!</v>
      </c>
      <c r="O18" s="122" t="e">
        <f t="shared" si="8"/>
        <v>#REF!</v>
      </c>
      <c r="P18" s="99" t="e">
        <f t="shared" si="9"/>
        <v>#REF!</v>
      </c>
    </row>
    <row r="19" spans="1:18" ht="22.5" customHeight="1">
      <c r="A19" s="193" t="s">
        <v>110</v>
      </c>
      <c r="B19" s="178" t="s">
        <v>202</v>
      </c>
      <c r="C19" s="217" t="e">
        <f>#REF!</f>
        <v>#REF!</v>
      </c>
      <c r="D19" s="228" t="e">
        <f>#REF!</f>
        <v>#REF!</v>
      </c>
      <c r="E19" s="186" t="e">
        <f>#REF!</f>
        <v>#REF!</v>
      </c>
      <c r="F19" s="228" t="e">
        <f>#REF!</f>
        <v>#REF!</v>
      </c>
      <c r="G19" s="194" t="e">
        <f t="shared" si="0"/>
        <v>#REF!</v>
      </c>
      <c r="H19" s="277" t="e">
        <f t="shared" si="3"/>
        <v>#REF!</v>
      </c>
      <c r="I19" s="217" t="e">
        <f>#REF!</f>
        <v>#REF!</v>
      </c>
      <c r="J19" s="228" t="e">
        <f t="shared" si="1"/>
        <v>#REF!</v>
      </c>
      <c r="K19" s="186" t="e">
        <f>#REF!+#REF!</f>
        <v>#REF!</v>
      </c>
      <c r="L19" s="228" t="e">
        <f t="shared" si="2"/>
        <v>#REF!</v>
      </c>
      <c r="M19" s="194" t="e">
        <f t="shared" si="4"/>
        <v>#REF!</v>
      </c>
      <c r="N19" s="237" t="e">
        <f t="shared" si="5"/>
        <v>#REF!</v>
      </c>
      <c r="O19" s="122" t="e">
        <f>G19+M19</f>
        <v>#REF!</v>
      </c>
      <c r="P19" s="99" t="e">
        <f t="shared" si="9"/>
        <v>#REF!</v>
      </c>
    </row>
    <row r="20" spans="1:18" ht="18" customHeight="1">
      <c r="A20" s="196" t="s">
        <v>120</v>
      </c>
      <c r="B20" s="182" t="s">
        <v>203</v>
      </c>
      <c r="C20" s="216" t="e">
        <f>#REF!</f>
        <v>#REF!</v>
      </c>
      <c r="D20" s="232" t="e">
        <f>#REF!</f>
        <v>#REF!</v>
      </c>
      <c r="E20" s="183" t="e">
        <f>#REF!</f>
        <v>#REF!</v>
      </c>
      <c r="F20" s="232" t="e">
        <f>#REF!</f>
        <v>#REF!</v>
      </c>
      <c r="G20" s="192" t="e">
        <f t="shared" si="0"/>
        <v>#REF!</v>
      </c>
      <c r="H20" s="276" t="e">
        <f t="shared" si="3"/>
        <v>#REF!</v>
      </c>
      <c r="I20" s="243" t="e">
        <f>#REF!</f>
        <v>#REF!</v>
      </c>
      <c r="J20" s="227" t="e">
        <f t="shared" si="1"/>
        <v>#REF!</v>
      </c>
      <c r="K20" s="183" t="e">
        <f>#REF!</f>
        <v>#REF!</v>
      </c>
      <c r="L20" s="227" t="e">
        <f t="shared" si="2"/>
        <v>#REF!</v>
      </c>
      <c r="M20" s="192" t="e">
        <f t="shared" si="4"/>
        <v>#REF!</v>
      </c>
      <c r="N20" s="236" t="e">
        <f t="shared" si="5"/>
        <v>#REF!</v>
      </c>
      <c r="O20" s="122" t="e">
        <f>G20+M20</f>
        <v>#REF!</v>
      </c>
      <c r="P20" s="99" t="e">
        <f t="shared" si="9"/>
        <v>#REF!</v>
      </c>
    </row>
    <row r="21" spans="1:18" ht="18" customHeight="1">
      <c r="A21" s="196" t="s">
        <v>127</v>
      </c>
      <c r="B21" s="182" t="s">
        <v>204</v>
      </c>
      <c r="C21" s="216" t="e">
        <f>#REF!</f>
        <v>#REF!</v>
      </c>
      <c r="D21" s="232" t="e">
        <f>#REF!</f>
        <v>#REF!</v>
      </c>
      <c r="E21" s="183" t="e">
        <f>#REF!</f>
        <v>#REF!</v>
      </c>
      <c r="F21" s="232" t="e">
        <f>#REF!</f>
        <v>#REF!</v>
      </c>
      <c r="G21" s="192" t="e">
        <f t="shared" si="0"/>
        <v>#REF!</v>
      </c>
      <c r="H21" s="278"/>
      <c r="I21" s="243" t="e">
        <f>#REF!</f>
        <v>#REF!</v>
      </c>
      <c r="J21" s="227" t="e">
        <f t="shared" si="1"/>
        <v>#REF!</v>
      </c>
      <c r="K21" s="183" t="e">
        <f>#REF!</f>
        <v>#REF!</v>
      </c>
      <c r="L21" s="227" t="e">
        <f t="shared" si="2"/>
        <v>#REF!</v>
      </c>
      <c r="M21" s="192" t="e">
        <f t="shared" si="4"/>
        <v>#REF!</v>
      </c>
      <c r="N21" s="239"/>
      <c r="O21" s="122" t="e">
        <f t="shared" si="8"/>
        <v>#REF!</v>
      </c>
      <c r="P21" s="99" t="e">
        <f t="shared" si="9"/>
        <v>#REF!</v>
      </c>
    </row>
    <row r="22" spans="1:18" ht="18" customHeight="1">
      <c r="A22" s="196" t="s">
        <v>134</v>
      </c>
      <c r="B22" s="182" t="s">
        <v>186</v>
      </c>
      <c r="C22" s="216" t="e">
        <f>#REF!</f>
        <v>#REF!</v>
      </c>
      <c r="D22" s="232" t="e">
        <f>#REF!</f>
        <v>#REF!</v>
      </c>
      <c r="E22" s="183" t="e">
        <f>#REF!</f>
        <v>#REF!</v>
      </c>
      <c r="F22" s="232" t="e">
        <f>#REF!</f>
        <v>#REF!</v>
      </c>
      <c r="G22" s="192" t="e">
        <f t="shared" si="0"/>
        <v>#REF!</v>
      </c>
      <c r="H22" s="276"/>
      <c r="I22" s="243" t="e">
        <f>#REF!</f>
        <v>#REF!</v>
      </c>
      <c r="J22" s="227" t="e">
        <f t="shared" si="1"/>
        <v>#REF!</v>
      </c>
      <c r="K22" s="183" t="e">
        <f>#REF!</f>
        <v>#REF!</v>
      </c>
      <c r="L22" s="227" t="e">
        <f t="shared" si="2"/>
        <v>#REF!</v>
      </c>
      <c r="M22" s="192" t="e">
        <f t="shared" si="4"/>
        <v>#REF!</v>
      </c>
      <c r="N22" s="236"/>
      <c r="O22" s="122" t="e">
        <f t="shared" si="8"/>
        <v>#REF!</v>
      </c>
      <c r="P22" s="99" t="e">
        <f t="shared" si="9"/>
        <v>#REF!</v>
      </c>
    </row>
    <row r="23" spans="1:18" ht="18" customHeight="1">
      <c r="A23" s="196" t="s">
        <v>137</v>
      </c>
      <c r="B23" s="182" t="s">
        <v>205</v>
      </c>
      <c r="C23" s="216" t="e">
        <f>#REF!</f>
        <v>#REF!</v>
      </c>
      <c r="D23" s="232" t="e">
        <f>#REF!</f>
        <v>#REF!</v>
      </c>
      <c r="E23" s="183" t="e">
        <f>#REF!</f>
        <v>#REF!</v>
      </c>
      <c r="F23" s="232" t="e">
        <f>#REF!</f>
        <v>#REF!</v>
      </c>
      <c r="G23" s="192" t="e">
        <f t="shared" si="0"/>
        <v>#REF!</v>
      </c>
      <c r="H23" s="276"/>
      <c r="I23" s="243" t="e">
        <f>#REF!</f>
        <v>#REF!</v>
      </c>
      <c r="J23" s="227" t="e">
        <f t="shared" si="1"/>
        <v>#REF!</v>
      </c>
      <c r="K23" s="183" t="e">
        <f>#REF!</f>
        <v>#REF!</v>
      </c>
      <c r="L23" s="227" t="e">
        <f t="shared" si="2"/>
        <v>#REF!</v>
      </c>
      <c r="M23" s="192" t="e">
        <f t="shared" si="4"/>
        <v>#REF!</v>
      </c>
      <c r="N23" s="236"/>
      <c r="O23" s="122" t="e">
        <f t="shared" si="8"/>
        <v>#REF!</v>
      </c>
      <c r="P23" s="99" t="e">
        <f t="shared" si="9"/>
        <v>#REF!</v>
      </c>
    </row>
    <row r="24" spans="1:18" ht="39" customHeight="1">
      <c r="A24" s="197" t="s">
        <v>139</v>
      </c>
      <c r="B24" s="184" t="s">
        <v>140</v>
      </c>
      <c r="C24" s="218" t="e">
        <f>#REF!</f>
        <v>#REF!</v>
      </c>
      <c r="D24" s="229" t="e">
        <f>#REF!</f>
        <v>#REF!</v>
      </c>
      <c r="E24" s="185" t="e">
        <f>#REF!</f>
        <v>#REF!</v>
      </c>
      <c r="F24" s="229" t="e">
        <f>#REF!</f>
        <v>#REF!</v>
      </c>
      <c r="G24" s="198" t="e">
        <f t="shared" si="0"/>
        <v>#REF!</v>
      </c>
      <c r="H24" s="279" t="e">
        <f t="shared" si="3"/>
        <v>#REF!</v>
      </c>
      <c r="I24" s="218" t="e">
        <f>I9+I20+I21+I22+I23</f>
        <v>#REF!</v>
      </c>
      <c r="J24" s="229" t="e">
        <f t="shared" si="1"/>
        <v>#REF!</v>
      </c>
      <c r="K24" s="185" t="e">
        <f>K9+K20+K21+K22+K23</f>
        <v>#REF!</v>
      </c>
      <c r="L24" s="229" t="e">
        <f t="shared" si="2"/>
        <v>#REF!</v>
      </c>
      <c r="M24" s="198" t="e">
        <f t="shared" si="4"/>
        <v>#REF!</v>
      </c>
      <c r="N24" s="238" t="e">
        <f t="shared" si="5"/>
        <v>#REF!</v>
      </c>
      <c r="O24" s="122" t="e">
        <f t="shared" si="8"/>
        <v>#REF!</v>
      </c>
      <c r="P24" s="99" t="e">
        <f t="shared" si="9"/>
        <v>#REF!</v>
      </c>
    </row>
    <row r="25" spans="1:18" ht="18" customHeight="1">
      <c r="A25" s="193">
        <v>7</v>
      </c>
      <c r="B25" s="178" t="s">
        <v>143</v>
      </c>
      <c r="C25" s="219" t="e">
        <f>C26-C24</f>
        <v>#REF!</v>
      </c>
      <c r="D25" s="228" t="e">
        <f>C25/$C$27</f>
        <v>#REF!</v>
      </c>
      <c r="E25" s="187" t="e">
        <f>#REF!</f>
        <v>#REF!</v>
      </c>
      <c r="F25" s="228" t="e">
        <f>E25/$E$27</f>
        <v>#REF!</v>
      </c>
      <c r="G25" s="194" t="e">
        <f t="shared" si="0"/>
        <v>#REF!</v>
      </c>
      <c r="H25" s="277" t="e">
        <f t="shared" si="3"/>
        <v>#REF!</v>
      </c>
      <c r="I25" s="219" t="e">
        <f>I26-I24</f>
        <v>#REF!</v>
      </c>
      <c r="J25" s="228" t="e">
        <f t="shared" si="1"/>
        <v>#REF!</v>
      </c>
      <c r="K25" s="187" t="e">
        <f>#REF!</f>
        <v>#REF!</v>
      </c>
      <c r="L25" s="228" t="e">
        <f t="shared" si="2"/>
        <v>#REF!</v>
      </c>
      <c r="M25" s="194" t="e">
        <f t="shared" si="4"/>
        <v>#REF!</v>
      </c>
      <c r="N25" s="237" t="e">
        <f t="shared" si="5"/>
        <v>#REF!</v>
      </c>
      <c r="O25" s="122" t="e">
        <f>G25+M25</f>
        <v>#REF!</v>
      </c>
      <c r="P25" s="99" t="e">
        <f t="shared" si="9"/>
        <v>#REF!</v>
      </c>
    </row>
    <row r="26" spans="1:18" ht="25.5" customHeight="1">
      <c r="A26" s="193">
        <v>8</v>
      </c>
      <c r="B26" s="178" t="s">
        <v>279</v>
      </c>
      <c r="C26" s="220" t="e">
        <f>#REF!</f>
        <v>#REF!</v>
      </c>
      <c r="D26" s="228" t="e">
        <f>C26/$C$27</f>
        <v>#REF!</v>
      </c>
      <c r="E26" s="187" t="e">
        <f>E24+E25</f>
        <v>#REF!</v>
      </c>
      <c r="F26" s="228" t="e">
        <f>E26/$E$27</f>
        <v>#REF!</v>
      </c>
      <c r="G26" s="194" t="e">
        <f t="shared" si="0"/>
        <v>#REF!</v>
      </c>
      <c r="H26" s="277" t="e">
        <f t="shared" si="3"/>
        <v>#REF!</v>
      </c>
      <c r="I26" s="220" t="e">
        <f>#REF!</f>
        <v>#REF!</v>
      </c>
      <c r="J26" s="228" t="e">
        <f t="shared" si="1"/>
        <v>#REF!</v>
      </c>
      <c r="K26" s="187" t="e">
        <f>K24+K25</f>
        <v>#REF!</v>
      </c>
      <c r="L26" s="228" t="e">
        <f t="shared" si="2"/>
        <v>#REF!</v>
      </c>
      <c r="M26" s="194" t="e">
        <f t="shared" si="4"/>
        <v>#REF!</v>
      </c>
      <c r="N26" s="237" t="e">
        <f t="shared" si="5"/>
        <v>#REF!</v>
      </c>
      <c r="O26" s="122" t="e">
        <f t="shared" si="8"/>
        <v>#REF!</v>
      </c>
      <c r="P26" s="99" t="e">
        <f t="shared" si="9"/>
        <v>#REF!</v>
      </c>
    </row>
    <row r="27" spans="1:18" ht="31.5" customHeight="1" thickBot="1">
      <c r="A27" s="206">
        <v>9</v>
      </c>
      <c r="B27" s="207" t="s">
        <v>280</v>
      </c>
      <c r="C27" s="235">
        <f>РП!K27</f>
        <v>118.91349085</v>
      </c>
      <c r="D27" s="230"/>
      <c r="E27" s="208">
        <f>РП!N27</f>
        <v>101.303516</v>
      </c>
      <c r="F27" s="233"/>
      <c r="G27" s="209">
        <f t="shared" si="0"/>
        <v>-17.60997485</v>
      </c>
      <c r="H27" s="280">
        <f t="shared" si="3"/>
        <v>85.190936096381535</v>
      </c>
      <c r="I27" s="235">
        <f>РП!K34</f>
        <v>33.44</v>
      </c>
      <c r="J27" s="230"/>
      <c r="K27" s="208">
        <f>РП!N34</f>
        <v>38.35</v>
      </c>
      <c r="L27" s="234"/>
      <c r="M27" s="209">
        <f t="shared" si="4"/>
        <v>4.9100000000000037</v>
      </c>
      <c r="N27" s="242">
        <f t="shared" si="5"/>
        <v>114.683014354067</v>
      </c>
      <c r="O27" s="122">
        <f t="shared" si="8"/>
        <v>-12.699974849999997</v>
      </c>
      <c r="P27" s="99">
        <f t="shared" si="9"/>
        <v>91.664139246731267</v>
      </c>
    </row>
    <row r="28" spans="1:18" ht="24.75" customHeight="1">
      <c r="A28" s="203"/>
      <c r="B28" s="225" t="s">
        <v>272</v>
      </c>
      <c r="C28" s="221"/>
      <c r="D28" s="231"/>
      <c r="E28" s="204"/>
      <c r="F28" s="231"/>
      <c r="G28" s="222"/>
      <c r="H28" s="222"/>
      <c r="I28" s="212"/>
      <c r="J28" s="231"/>
      <c r="K28" s="204"/>
      <c r="L28" s="271"/>
      <c r="M28" s="205"/>
      <c r="N28" s="222"/>
      <c r="O28" s="122"/>
      <c r="P28" s="99"/>
    </row>
    <row r="29" spans="1:18" ht="18" customHeight="1">
      <c r="A29" s="199">
        <v>1</v>
      </c>
      <c r="B29" s="210" t="s">
        <v>273</v>
      </c>
      <c r="C29" s="319">
        <v>319.81851</v>
      </c>
      <c r="D29" s="228">
        <f t="shared" ref="D29:D34" si="10">C29/$C$27</f>
        <v>2.689505687823309</v>
      </c>
      <c r="E29" s="190" t="e">
        <f>#REF!</f>
        <v>#REF!</v>
      </c>
      <c r="F29" s="228" t="e">
        <f t="shared" ref="F29:F34" si="11">E29/$E$27</f>
        <v>#REF!</v>
      </c>
      <c r="G29" s="194" t="e">
        <f t="shared" ref="G29:G34" si="12">E29-C29</f>
        <v>#REF!</v>
      </c>
      <c r="H29" s="237" t="e">
        <f t="shared" si="3"/>
        <v>#REF!</v>
      </c>
      <c r="I29" s="311">
        <v>83.898380000000003</v>
      </c>
      <c r="J29" s="228">
        <f t="shared" ref="J29:J34" si="13">I29/$I$27</f>
        <v>2.5089228468899525</v>
      </c>
      <c r="K29" s="190" t="e">
        <f>#REF!</f>
        <v>#REF!</v>
      </c>
      <c r="L29" s="228" t="e">
        <f t="shared" ref="L29:L34" si="14">K29/$K$27</f>
        <v>#REF!</v>
      </c>
      <c r="M29" s="194" t="e">
        <f>K29-I29</f>
        <v>#REF!</v>
      </c>
      <c r="N29" s="237" t="e">
        <f t="shared" si="5"/>
        <v>#REF!</v>
      </c>
      <c r="O29" s="122" t="e">
        <f t="shared" ref="O29:O33" si="15">G29+M29</f>
        <v>#REF!</v>
      </c>
      <c r="P29" s="99" t="e">
        <f t="shared" ref="P29:P33" si="16">(E29+K29)/(C29+I29)*100</f>
        <v>#REF!</v>
      </c>
      <c r="Q29" s="241" t="e">
        <f t="shared" ref="Q29:Q34" si="17">E29+K29</f>
        <v>#REF!</v>
      </c>
      <c r="R29" s="99" t="e">
        <f t="shared" ref="R29:R35" si="18">Q29/$Q$35*100</f>
        <v>#REF!</v>
      </c>
    </row>
    <row r="30" spans="1:18" ht="18" customHeight="1">
      <c r="A30" s="199">
        <v>2</v>
      </c>
      <c r="B30" s="210" t="s">
        <v>114</v>
      </c>
      <c r="C30" s="319">
        <v>1109.1454768652384</v>
      </c>
      <c r="D30" s="228">
        <f t="shared" si="10"/>
        <v>9.3273308935513288</v>
      </c>
      <c r="E30" s="190" t="e">
        <f>#REF!</f>
        <v>#REF!</v>
      </c>
      <c r="F30" s="228" t="e">
        <f t="shared" si="11"/>
        <v>#REF!</v>
      </c>
      <c r="G30" s="194" t="e">
        <f t="shared" si="12"/>
        <v>#REF!</v>
      </c>
      <c r="H30" s="237" t="e">
        <f t="shared" si="3"/>
        <v>#REF!</v>
      </c>
      <c r="I30" s="311">
        <v>355.05864172712631</v>
      </c>
      <c r="J30" s="228">
        <f t="shared" si="13"/>
        <v>10.617782348299233</v>
      </c>
      <c r="K30" s="190" t="e">
        <f>#REF!</f>
        <v>#REF!</v>
      </c>
      <c r="L30" s="228" t="e">
        <f t="shared" si="14"/>
        <v>#REF!</v>
      </c>
      <c r="M30" s="194" t="e">
        <f t="shared" si="4"/>
        <v>#REF!</v>
      </c>
      <c r="N30" s="237" t="e">
        <f t="shared" si="5"/>
        <v>#REF!</v>
      </c>
      <c r="O30" s="122" t="e">
        <f>G30+M30</f>
        <v>#REF!</v>
      </c>
      <c r="P30" s="99" t="e">
        <f t="shared" si="16"/>
        <v>#REF!</v>
      </c>
      <c r="Q30" s="241" t="e">
        <f>E30+K30</f>
        <v>#REF!</v>
      </c>
      <c r="R30" s="99" t="e">
        <f t="shared" si="18"/>
        <v>#REF!</v>
      </c>
    </row>
    <row r="31" spans="1:18" ht="18" customHeight="1">
      <c r="A31" s="199">
        <v>3</v>
      </c>
      <c r="B31" s="210" t="s">
        <v>303</v>
      </c>
      <c r="C31" s="319">
        <v>236.42894367874879</v>
      </c>
      <c r="D31" s="228">
        <f t="shared" si="10"/>
        <v>1.9882432345459042</v>
      </c>
      <c r="E31" s="190" t="e">
        <f>#REF!</f>
        <v>#REF!</v>
      </c>
      <c r="F31" s="228" t="e">
        <f t="shared" si="11"/>
        <v>#REF!</v>
      </c>
      <c r="G31" s="194" t="e">
        <f t="shared" si="12"/>
        <v>#REF!</v>
      </c>
      <c r="H31" s="237" t="e">
        <f t="shared" si="3"/>
        <v>#REF!</v>
      </c>
      <c r="I31" s="311">
        <v>74.430691748608879</v>
      </c>
      <c r="J31" s="228">
        <f t="shared" si="13"/>
        <v>2.2257981982239499</v>
      </c>
      <c r="K31" s="190" t="e">
        <f>#REF!</f>
        <v>#REF!</v>
      </c>
      <c r="L31" s="228" t="e">
        <f t="shared" si="14"/>
        <v>#REF!</v>
      </c>
      <c r="M31" s="194" t="e">
        <f t="shared" si="4"/>
        <v>#REF!</v>
      </c>
      <c r="N31" s="237" t="e">
        <f t="shared" si="5"/>
        <v>#REF!</v>
      </c>
      <c r="O31" s="122" t="e">
        <f t="shared" si="15"/>
        <v>#REF!</v>
      </c>
      <c r="P31" s="99" t="e">
        <f t="shared" si="16"/>
        <v>#REF!</v>
      </c>
      <c r="Q31" s="241" t="e">
        <f t="shared" si="17"/>
        <v>#REF!</v>
      </c>
      <c r="R31" s="99" t="e">
        <f t="shared" si="18"/>
        <v>#REF!</v>
      </c>
    </row>
    <row r="32" spans="1:18" ht="18" customHeight="1">
      <c r="A32" s="199">
        <v>4</v>
      </c>
      <c r="B32" s="210" t="s">
        <v>274</v>
      </c>
      <c r="C32" s="319">
        <v>26.815541608160295</v>
      </c>
      <c r="D32" s="228">
        <f t="shared" si="10"/>
        <v>0.22550462034611352</v>
      </c>
      <c r="E32" s="190" t="e">
        <f>#REF!</f>
        <v>#REF!</v>
      </c>
      <c r="F32" s="228" t="e">
        <f t="shared" si="11"/>
        <v>#REF!</v>
      </c>
      <c r="G32" s="194" t="e">
        <f t="shared" si="12"/>
        <v>#REF!</v>
      </c>
      <c r="H32" s="237" t="e">
        <f t="shared" si="3"/>
        <v>#REF!</v>
      </c>
      <c r="I32" s="311">
        <v>5.9232066877353198</v>
      </c>
      <c r="J32" s="228">
        <f t="shared" si="13"/>
        <v>0.17712938659495575</v>
      </c>
      <c r="K32" s="190" t="e">
        <f>#REF!</f>
        <v>#REF!</v>
      </c>
      <c r="L32" s="228" t="e">
        <f t="shared" si="14"/>
        <v>#REF!</v>
      </c>
      <c r="M32" s="194" t="e">
        <f t="shared" si="4"/>
        <v>#REF!</v>
      </c>
      <c r="N32" s="237" t="e">
        <f>K32/I32*100</f>
        <v>#REF!</v>
      </c>
      <c r="O32" s="122" t="e">
        <f t="shared" si="15"/>
        <v>#REF!</v>
      </c>
      <c r="P32" s="99" t="e">
        <f t="shared" si="16"/>
        <v>#REF!</v>
      </c>
      <c r="Q32" s="241" t="e">
        <f t="shared" si="17"/>
        <v>#REF!</v>
      </c>
      <c r="R32" s="99" t="e">
        <f t="shared" si="18"/>
        <v>#REF!</v>
      </c>
    </row>
    <row r="33" spans="1:18" ht="18" customHeight="1">
      <c r="A33" s="199">
        <v>5</v>
      </c>
      <c r="B33" s="210" t="s">
        <v>275</v>
      </c>
      <c r="C33" s="319">
        <v>198.59197173402168</v>
      </c>
      <c r="D33" s="228">
        <f t="shared" si="10"/>
        <v>1.6700541739585275</v>
      </c>
      <c r="E33" s="190" t="e">
        <f>#REF!</f>
        <v>#REF!</v>
      </c>
      <c r="F33" s="228" t="e">
        <f t="shared" si="11"/>
        <v>#REF!</v>
      </c>
      <c r="G33" s="194" t="e">
        <f t="shared" si="12"/>
        <v>#REF!</v>
      </c>
      <c r="H33" s="237" t="e">
        <f t="shared" si="3"/>
        <v>#REF!</v>
      </c>
      <c r="I33" s="311">
        <v>65.651275114040942</v>
      </c>
      <c r="J33" s="228">
        <f t="shared" si="13"/>
        <v>1.9632558347500284</v>
      </c>
      <c r="K33" s="190" t="e">
        <f>#REF!</f>
        <v>#REF!</v>
      </c>
      <c r="L33" s="228" t="e">
        <f t="shared" si="14"/>
        <v>#REF!</v>
      </c>
      <c r="M33" s="194" t="e">
        <f t="shared" si="4"/>
        <v>#REF!</v>
      </c>
      <c r="N33" s="237" t="e">
        <f t="shared" si="5"/>
        <v>#REF!</v>
      </c>
      <c r="O33" s="122" t="e">
        <f t="shared" si="15"/>
        <v>#REF!</v>
      </c>
      <c r="P33" s="99" t="e">
        <f t="shared" si="16"/>
        <v>#REF!</v>
      </c>
      <c r="Q33" s="241" t="e">
        <f t="shared" si="17"/>
        <v>#REF!</v>
      </c>
      <c r="R33" s="99" t="e">
        <f t="shared" si="18"/>
        <v>#REF!</v>
      </c>
    </row>
    <row r="34" spans="1:18" ht="18" customHeight="1" thickBot="1">
      <c r="A34" s="200"/>
      <c r="B34" s="211" t="s">
        <v>68</v>
      </c>
      <c r="C34" s="224">
        <f>SUM(C29:C33)</f>
        <v>1890.8004438861692</v>
      </c>
      <c r="D34" s="234">
        <f t="shared" si="10"/>
        <v>15.900638610225185</v>
      </c>
      <c r="E34" s="201" t="e">
        <f>#REF!</f>
        <v>#REF!</v>
      </c>
      <c r="F34" s="234" t="e">
        <f t="shared" si="11"/>
        <v>#REF!</v>
      </c>
      <c r="G34" s="202" t="e">
        <f t="shared" si="12"/>
        <v>#REF!</v>
      </c>
      <c r="H34" s="240" t="e">
        <f t="shared" si="3"/>
        <v>#REF!</v>
      </c>
      <c r="I34" s="214">
        <f>SUM(I29:I33)</f>
        <v>584.96219527751134</v>
      </c>
      <c r="J34" s="208">
        <f t="shared" si="13"/>
        <v>17.492888614758115</v>
      </c>
      <c r="K34" s="201" t="e">
        <f>#REF!</f>
        <v>#REF!</v>
      </c>
      <c r="L34" s="234" t="e">
        <f t="shared" si="14"/>
        <v>#REF!</v>
      </c>
      <c r="M34" s="202" t="e">
        <f t="shared" si="4"/>
        <v>#REF!</v>
      </c>
      <c r="N34" s="240" t="e">
        <f t="shared" si="5"/>
        <v>#REF!</v>
      </c>
      <c r="O34" s="122" t="e">
        <f>G34+M34</f>
        <v>#REF!</v>
      </c>
      <c r="P34" s="99" t="e">
        <f>(E34+K34)/(C34+I34)*100</f>
        <v>#REF!</v>
      </c>
      <c r="Q34" s="241" t="e">
        <f t="shared" si="17"/>
        <v>#REF!</v>
      </c>
      <c r="R34" s="99" t="e">
        <f t="shared" si="18"/>
        <v>#REF!</v>
      </c>
    </row>
    <row r="35" spans="1:18" ht="18" customHeight="1">
      <c r="B35" s="323"/>
      <c r="C35" s="324"/>
      <c r="D35" s="320"/>
      <c r="E35" s="325"/>
      <c r="F35" s="320"/>
      <c r="G35" s="321"/>
      <c r="H35" s="322"/>
      <c r="I35" s="324"/>
      <c r="J35" s="326"/>
      <c r="K35" s="325"/>
      <c r="L35" s="320"/>
      <c r="M35" s="321"/>
      <c r="N35" s="322"/>
      <c r="O35" s="122"/>
      <c r="P35" s="99"/>
      <c r="Q35" s="84" t="e">
        <f>Q34*1.2</f>
        <v>#REF!</v>
      </c>
      <c r="R35" s="99" t="e">
        <f t="shared" si="18"/>
        <v>#REF!</v>
      </c>
    </row>
    <row r="36" spans="1:18" ht="18" customHeight="1">
      <c r="B36" s="323"/>
      <c r="C36" s="324"/>
      <c r="D36" s="320"/>
      <c r="E36" s="325"/>
      <c r="F36" s="320"/>
      <c r="G36" s="321"/>
      <c r="H36" s="322"/>
      <c r="I36" s="324"/>
      <c r="J36" s="326"/>
      <c r="K36" s="325"/>
      <c r="L36" s="320"/>
      <c r="M36" s="321"/>
      <c r="N36" s="322"/>
      <c r="O36" s="122"/>
      <c r="P36" s="99"/>
      <c r="Q36" s="241"/>
      <c r="R36" s="99"/>
    </row>
    <row r="37" spans="1:18">
      <c r="B37" s="141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  <c r="N37" s="141"/>
    </row>
    <row r="38" spans="1:18" s="327" customFormat="1">
      <c r="D38" s="327" t="str">
        <f>Структ!B54</f>
        <v>Директор</v>
      </c>
      <c r="I38" s="327" t="str">
        <f>Структ!E54</f>
        <v>Микола ДАШИВЕЦЬ</v>
      </c>
      <c r="M38" s="328"/>
    </row>
    <row r="39" spans="1:18">
      <c r="I39" s="141"/>
      <c r="J39" s="141"/>
      <c r="K39" s="141"/>
      <c r="L39" s="141"/>
      <c r="M39" s="177"/>
      <c r="N39" s="141"/>
    </row>
    <row r="40" spans="1:18">
      <c r="L40" s="2"/>
    </row>
    <row r="41" spans="1:18" ht="15.75">
      <c r="B41" s="348" t="s">
        <v>271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</row>
    <row r="42" spans="1:18" ht="15.75">
      <c r="B42" s="348" t="s">
        <v>278</v>
      </c>
      <c r="C42" s="348"/>
      <c r="D42" s="348"/>
      <c r="E42" s="348"/>
      <c r="F42" s="348"/>
      <c r="G42" s="348"/>
      <c r="H42" s="348"/>
      <c r="I42" s="348"/>
      <c r="J42" s="348"/>
      <c r="K42" s="348"/>
      <c r="L42" s="348"/>
    </row>
    <row r="43" spans="1:18" ht="13.5" thickBot="1">
      <c r="B43" s="84">
        <v>2</v>
      </c>
      <c r="K43" s="136" t="s">
        <v>188</v>
      </c>
      <c r="L43" s="86"/>
    </row>
    <row r="44" spans="1:18">
      <c r="B44" s="359" t="s">
        <v>71</v>
      </c>
      <c r="C44" s="360" t="s">
        <v>184</v>
      </c>
      <c r="D44" s="361"/>
      <c r="E44" s="361"/>
      <c r="F44" s="361"/>
      <c r="G44" s="362"/>
      <c r="H44" s="362"/>
      <c r="I44" s="356" t="s">
        <v>185</v>
      </c>
      <c r="J44" s="357"/>
      <c r="K44" s="357"/>
      <c r="L44" s="357"/>
      <c r="M44" s="357"/>
      <c r="N44" s="358"/>
    </row>
    <row r="45" spans="1:18" ht="26.25" customHeight="1">
      <c r="B45" s="359"/>
      <c r="C45" s="365" t="s">
        <v>321</v>
      </c>
      <c r="D45" s="364"/>
      <c r="E45" s="364" t="s">
        <v>319</v>
      </c>
      <c r="F45" s="364"/>
      <c r="G45" s="366" t="s">
        <v>305</v>
      </c>
      <c r="H45" s="367"/>
      <c r="I45" s="365" t="s">
        <v>321</v>
      </c>
      <c r="J45" s="364"/>
      <c r="K45" s="364" t="s">
        <v>319</v>
      </c>
      <c r="L45" s="364"/>
      <c r="M45" s="354" t="s">
        <v>305</v>
      </c>
      <c r="N45" s="355"/>
    </row>
    <row r="46" spans="1:18" ht="15.75">
      <c r="B46" s="359"/>
      <c r="C46" s="298" t="s">
        <v>276</v>
      </c>
      <c r="D46" s="284" t="s">
        <v>282</v>
      </c>
      <c r="E46" s="285" t="s">
        <v>276</v>
      </c>
      <c r="F46" s="284" t="s">
        <v>282</v>
      </c>
      <c r="G46" s="281" t="s">
        <v>277</v>
      </c>
      <c r="H46" s="282" t="s">
        <v>49</v>
      </c>
      <c r="I46" s="283" t="s">
        <v>276</v>
      </c>
      <c r="J46" s="284" t="s">
        <v>282</v>
      </c>
      <c r="K46" s="285" t="s">
        <v>276</v>
      </c>
      <c r="L46" s="284" t="s">
        <v>282</v>
      </c>
      <c r="M46" s="281" t="s">
        <v>206</v>
      </c>
      <c r="N46" s="281" t="s">
        <v>49</v>
      </c>
    </row>
    <row r="47" spans="1:18">
      <c r="B47" s="303" t="s">
        <v>191</v>
      </c>
      <c r="C47" s="299"/>
      <c r="D47" s="226"/>
      <c r="E47" s="181"/>
      <c r="F47" s="226"/>
      <c r="G47" s="191"/>
      <c r="H47" s="275"/>
      <c r="I47" s="215"/>
      <c r="J47" s="226"/>
      <c r="K47" s="181"/>
      <c r="L47" s="226"/>
      <c r="M47" s="191"/>
      <c r="N47" s="191"/>
    </row>
    <row r="48" spans="1:18" ht="25.5">
      <c r="B48" s="305" t="s">
        <v>197</v>
      </c>
      <c r="C48" s="300">
        <f>C49+C53+C54+C58</f>
        <v>2223.6999999999998</v>
      </c>
      <c r="D48" s="227">
        <f>C48/$C$66</f>
        <v>28.341975569442667</v>
      </c>
      <c r="E48" s="183" t="e">
        <f t="shared" ref="E48:E62" si="19">E9</f>
        <v>#REF!</v>
      </c>
      <c r="F48" s="232" t="e">
        <f>#REF!</f>
        <v>#REF!</v>
      </c>
      <c r="G48" s="192" t="e">
        <f t="shared" ref="G48:G49" si="20">E48-C48</f>
        <v>#REF!</v>
      </c>
      <c r="H48" s="276" t="e">
        <f>E48/C48*100</f>
        <v>#REF!</v>
      </c>
      <c r="I48" s="216">
        <f>I49+I53+I54+I58</f>
        <v>1063.76</v>
      </c>
      <c r="J48" s="227">
        <f>I48/$I$66</f>
        <v>33.535939470365697</v>
      </c>
      <c r="K48" s="183" t="e">
        <f t="shared" ref="K48:K62" si="21">K9</f>
        <v>#REF!</v>
      </c>
      <c r="L48" s="227" t="e">
        <f t="shared" ref="L48:L65" si="22">K48/$K$27</f>
        <v>#REF!</v>
      </c>
      <c r="M48" s="192" t="e">
        <f>K48-I48</f>
        <v>#REF!</v>
      </c>
      <c r="N48" s="236" t="e">
        <f>K48/I48*100</f>
        <v>#REF!</v>
      </c>
      <c r="O48" s="122" t="e">
        <f>G48+M48</f>
        <v>#REF!</v>
      </c>
      <c r="P48" s="99" t="e">
        <f>(E48+K48)/(C48+I48)*100</f>
        <v>#REF!</v>
      </c>
    </row>
    <row r="49" spans="2:16" ht="25.5">
      <c r="B49" s="302" t="s">
        <v>198</v>
      </c>
      <c r="C49" s="217">
        <f>C50+C51+C52</f>
        <v>368.26</v>
      </c>
      <c r="D49" s="228">
        <f>C49/$C$66</f>
        <v>4.6936259042150272</v>
      </c>
      <c r="E49" s="186" t="e">
        <f t="shared" si="19"/>
        <v>#REF!</v>
      </c>
      <c r="F49" s="228" t="e">
        <f>#REF!</f>
        <v>#REF!</v>
      </c>
      <c r="G49" s="194" t="e">
        <f t="shared" si="20"/>
        <v>#REF!</v>
      </c>
      <c r="H49" s="277" t="e">
        <f t="shared" ref="H49" si="23">E49/C49*100</f>
        <v>#REF!</v>
      </c>
      <c r="I49" s="217">
        <f>I50+I51+I52</f>
        <v>362.48</v>
      </c>
      <c r="J49" s="228">
        <f>I49/$I$66</f>
        <v>11.427490542244641</v>
      </c>
      <c r="K49" s="186" t="e">
        <f t="shared" si="21"/>
        <v>#REF!</v>
      </c>
      <c r="L49" s="228" t="e">
        <f t="shared" si="22"/>
        <v>#REF!</v>
      </c>
      <c r="M49" s="194" t="e">
        <f t="shared" ref="M49:M66" si="24">K49-I49</f>
        <v>#REF!</v>
      </c>
      <c r="N49" s="237" t="e">
        <f t="shared" ref="N49:N50" si="25">K49/I49*100</f>
        <v>#REF!</v>
      </c>
      <c r="O49" s="122" t="e">
        <f>G49+M49</f>
        <v>#REF!</v>
      </c>
      <c r="P49" s="99" t="e">
        <f>(E49+K49)/(C49+I49)*100</f>
        <v>#REF!</v>
      </c>
    </row>
    <row r="50" spans="2:16" ht="38.25">
      <c r="B50" s="306" t="s">
        <v>308</v>
      </c>
      <c r="C50" s="217"/>
      <c r="D50" s="228">
        <f t="shared" ref="D50:D58" si="26">C50/$C$66</f>
        <v>0</v>
      </c>
      <c r="E50" s="186">
        <f t="shared" si="19"/>
        <v>0</v>
      </c>
      <c r="F50" s="228"/>
      <c r="G50" s="194"/>
      <c r="H50" s="277"/>
      <c r="I50" s="217">
        <f>147.16*B43</f>
        <v>294.32</v>
      </c>
      <c r="J50" s="228">
        <f t="shared" ref="J50:J58" si="27">I50/$I$66</f>
        <v>9.278688524590164</v>
      </c>
      <c r="K50" s="186" t="e">
        <f t="shared" si="21"/>
        <v>#REF!</v>
      </c>
      <c r="L50" s="228" t="e">
        <f t="shared" si="22"/>
        <v>#REF!</v>
      </c>
      <c r="M50" s="194" t="e">
        <f t="shared" si="24"/>
        <v>#REF!</v>
      </c>
      <c r="N50" s="237" t="e">
        <f t="shared" si="25"/>
        <v>#REF!</v>
      </c>
      <c r="O50" s="122" t="e">
        <f>G50+M50</f>
        <v>#REF!</v>
      </c>
      <c r="P50" s="99" t="e">
        <f>(E50+K50)/(C50+I50)*100</f>
        <v>#REF!</v>
      </c>
    </row>
    <row r="51" spans="2:16">
      <c r="B51" s="178" t="s">
        <v>85</v>
      </c>
      <c r="C51" s="217">
        <f>129.8*B43</f>
        <v>259.60000000000002</v>
      </c>
      <c r="D51" s="228">
        <f t="shared" si="26"/>
        <v>3.3087092943415555</v>
      </c>
      <c r="E51" s="186" t="e">
        <f t="shared" si="19"/>
        <v>#REF!</v>
      </c>
      <c r="F51" s="228" t="e">
        <f>#REF!</f>
        <v>#REF!</v>
      </c>
      <c r="G51" s="194" t="e">
        <f t="shared" ref="G51:G66" si="28">E51-C51</f>
        <v>#REF!</v>
      </c>
      <c r="H51" s="277" t="e">
        <f t="shared" ref="H51:H59" si="29">E51/C51*100</f>
        <v>#REF!</v>
      </c>
      <c r="I51" s="217">
        <f>34.08*B43</f>
        <v>68.16</v>
      </c>
      <c r="J51" s="228">
        <f t="shared" si="27"/>
        <v>2.1488020176544764</v>
      </c>
      <c r="K51" s="186" t="e">
        <f t="shared" si="21"/>
        <v>#REF!</v>
      </c>
      <c r="L51" s="228" t="e">
        <f t="shared" si="22"/>
        <v>#REF!</v>
      </c>
      <c r="M51" s="194" t="e">
        <f t="shared" si="24"/>
        <v>#REF!</v>
      </c>
      <c r="N51" s="237" t="e">
        <f t="shared" ref="N51" si="30">K51/I51*100</f>
        <v>#REF!</v>
      </c>
      <c r="O51" s="122" t="e">
        <f t="shared" ref="O51:O57" si="31">G51+M51</f>
        <v>#REF!</v>
      </c>
      <c r="P51" s="99" t="e">
        <f t="shared" ref="P51:P66" si="32">(E51+K51)/(C51+I51)*100</f>
        <v>#REF!</v>
      </c>
    </row>
    <row r="52" spans="2:16" ht="25.5">
      <c r="B52" s="178" t="s">
        <v>193</v>
      </c>
      <c r="C52" s="217">
        <f>(5.92+48.41)*B43</f>
        <v>108.66</v>
      </c>
      <c r="D52" s="228">
        <f t="shared" si="26"/>
        <v>1.3849166098734722</v>
      </c>
      <c r="E52" s="186" t="e">
        <f t="shared" si="19"/>
        <v>#REF!</v>
      </c>
      <c r="F52" s="228" t="e">
        <f>#REF!</f>
        <v>#REF!</v>
      </c>
      <c r="G52" s="194" t="e">
        <f t="shared" si="28"/>
        <v>#REF!</v>
      </c>
      <c r="H52" s="277" t="e">
        <f t="shared" si="29"/>
        <v>#REF!</v>
      </c>
      <c r="I52" s="217"/>
      <c r="J52" s="228">
        <f t="shared" si="27"/>
        <v>0</v>
      </c>
      <c r="K52" s="186" t="e">
        <f t="shared" si="21"/>
        <v>#REF!</v>
      </c>
      <c r="L52" s="228" t="e">
        <f t="shared" si="22"/>
        <v>#REF!</v>
      </c>
      <c r="M52" s="194" t="e">
        <f t="shared" si="24"/>
        <v>#REF!</v>
      </c>
      <c r="N52" s="237"/>
      <c r="O52" s="122" t="e">
        <f t="shared" si="31"/>
        <v>#REF!</v>
      </c>
      <c r="P52" s="99" t="e">
        <f t="shared" si="32"/>
        <v>#REF!</v>
      </c>
    </row>
    <row r="53" spans="2:16" ht="25.5">
      <c r="B53" s="178" t="s">
        <v>200</v>
      </c>
      <c r="C53" s="217">
        <f>261.98*B43</f>
        <v>523.96</v>
      </c>
      <c r="D53" s="228">
        <f t="shared" si="26"/>
        <v>6.6780867560215773</v>
      </c>
      <c r="E53" s="186" t="e">
        <f t="shared" si="19"/>
        <v>#REF!</v>
      </c>
      <c r="F53" s="228" t="e">
        <f>#REF!</f>
        <v>#REF!</v>
      </c>
      <c r="G53" s="194" t="e">
        <f t="shared" si="28"/>
        <v>#REF!</v>
      </c>
      <c r="H53" s="277" t="e">
        <f t="shared" si="29"/>
        <v>#REF!</v>
      </c>
      <c r="I53" s="217">
        <f>71.63*B43</f>
        <v>143.26</v>
      </c>
      <c r="J53" s="228">
        <f t="shared" si="27"/>
        <v>4.5163934426229506</v>
      </c>
      <c r="K53" s="186" t="e">
        <f t="shared" si="21"/>
        <v>#REF!</v>
      </c>
      <c r="L53" s="228" t="e">
        <f t="shared" si="22"/>
        <v>#REF!</v>
      </c>
      <c r="M53" s="194" t="e">
        <f t="shared" si="24"/>
        <v>#REF!</v>
      </c>
      <c r="N53" s="237" t="e">
        <f t="shared" ref="N53:N55" si="33">K53/I53*100</f>
        <v>#REF!</v>
      </c>
      <c r="O53" s="122" t="e">
        <f t="shared" si="31"/>
        <v>#REF!</v>
      </c>
      <c r="P53" s="99" t="e">
        <f t="shared" si="32"/>
        <v>#REF!</v>
      </c>
    </row>
    <row r="54" spans="2:16">
      <c r="B54" s="178" t="s">
        <v>201</v>
      </c>
      <c r="C54" s="217">
        <f>C55+C56+C57</f>
        <v>128.46</v>
      </c>
      <c r="D54" s="228">
        <f t="shared" si="26"/>
        <v>1.6372757933402011</v>
      </c>
      <c r="E54" s="186" t="e">
        <f t="shared" si="19"/>
        <v>#REF!</v>
      </c>
      <c r="F54" s="228" t="e">
        <f>#REF!</f>
        <v>#REF!</v>
      </c>
      <c r="G54" s="194" t="e">
        <f t="shared" si="28"/>
        <v>#REF!</v>
      </c>
      <c r="H54" s="277" t="e">
        <f t="shared" si="29"/>
        <v>#REF!</v>
      </c>
      <c r="I54" s="217">
        <f>I55+I56+I57</f>
        <v>53.46</v>
      </c>
      <c r="J54" s="228">
        <f t="shared" si="27"/>
        <v>1.6853720050441363</v>
      </c>
      <c r="K54" s="186" t="e">
        <f t="shared" si="21"/>
        <v>#REF!</v>
      </c>
      <c r="L54" s="228" t="e">
        <f t="shared" si="22"/>
        <v>#REF!</v>
      </c>
      <c r="M54" s="194" t="e">
        <f t="shared" si="24"/>
        <v>#REF!</v>
      </c>
      <c r="N54" s="237" t="e">
        <f t="shared" si="33"/>
        <v>#REF!</v>
      </c>
      <c r="O54" s="122" t="e">
        <f t="shared" si="31"/>
        <v>#REF!</v>
      </c>
      <c r="P54" s="99" t="e">
        <f t="shared" si="32"/>
        <v>#REF!</v>
      </c>
    </row>
    <row r="55" spans="2:16" ht="51">
      <c r="B55" s="179" t="s">
        <v>194</v>
      </c>
      <c r="C55" s="217">
        <f>57.64*B43</f>
        <v>115.28</v>
      </c>
      <c r="D55" s="228">
        <f t="shared" si="26"/>
        <v>1.4692912459618432</v>
      </c>
      <c r="E55" s="186" t="e">
        <f t="shared" si="19"/>
        <v>#REF!</v>
      </c>
      <c r="F55" s="228" t="e">
        <f>#REF!</f>
        <v>#REF!</v>
      </c>
      <c r="G55" s="194" t="e">
        <f t="shared" si="28"/>
        <v>#REF!</v>
      </c>
      <c r="H55" s="277" t="e">
        <f t="shared" si="29"/>
        <v>#REF!</v>
      </c>
      <c r="I55" s="217">
        <f>15.76*B43</f>
        <v>31.52</v>
      </c>
      <c r="J55" s="228">
        <f t="shared" si="27"/>
        <v>0.99369482976040358</v>
      </c>
      <c r="K55" s="186" t="e">
        <f t="shared" si="21"/>
        <v>#REF!</v>
      </c>
      <c r="L55" s="228" t="e">
        <f t="shared" si="22"/>
        <v>#REF!</v>
      </c>
      <c r="M55" s="194" t="e">
        <f t="shared" si="24"/>
        <v>#REF!</v>
      </c>
      <c r="N55" s="237" t="e">
        <f t="shared" si="33"/>
        <v>#REF!</v>
      </c>
      <c r="O55" s="122" t="e">
        <f t="shared" si="31"/>
        <v>#REF!</v>
      </c>
      <c r="P55" s="99" t="e">
        <f t="shared" si="32"/>
        <v>#REF!</v>
      </c>
    </row>
    <row r="56" spans="2:16" ht="25.5">
      <c r="B56" s="180" t="s">
        <v>285</v>
      </c>
      <c r="C56" s="217">
        <f>6.59*B43</f>
        <v>13.18</v>
      </c>
      <c r="D56" s="228">
        <f t="shared" si="26"/>
        <v>0.16798454737835786</v>
      </c>
      <c r="E56" s="186" t="e">
        <f t="shared" si="19"/>
        <v>#REF!</v>
      </c>
      <c r="F56" s="228" t="e">
        <f>#REF!</f>
        <v>#REF!</v>
      </c>
      <c r="G56" s="194" t="e">
        <f t="shared" si="28"/>
        <v>#REF!</v>
      </c>
      <c r="H56" s="277" t="e">
        <f t="shared" si="29"/>
        <v>#REF!</v>
      </c>
      <c r="I56" s="217">
        <f>10.97*B43</f>
        <v>21.94</v>
      </c>
      <c r="J56" s="228">
        <f t="shared" si="27"/>
        <v>0.69167717528373274</v>
      </c>
      <c r="K56" s="186" t="e">
        <f t="shared" si="21"/>
        <v>#REF!</v>
      </c>
      <c r="L56" s="228" t="e">
        <f t="shared" si="22"/>
        <v>#REF!</v>
      </c>
      <c r="M56" s="194" t="e">
        <f t="shared" si="24"/>
        <v>#REF!</v>
      </c>
      <c r="N56" s="237"/>
      <c r="O56" s="122" t="e">
        <f t="shared" si="31"/>
        <v>#REF!</v>
      </c>
      <c r="P56" s="99" t="e">
        <f t="shared" si="32"/>
        <v>#REF!</v>
      </c>
    </row>
    <row r="57" spans="2:16">
      <c r="B57" s="179" t="s">
        <v>109</v>
      </c>
      <c r="C57" s="217"/>
      <c r="D57" s="228">
        <f t="shared" si="26"/>
        <v>0</v>
      </c>
      <c r="E57" s="186" t="e">
        <f t="shared" si="19"/>
        <v>#REF!</v>
      </c>
      <c r="F57" s="228" t="e">
        <f>#REF!</f>
        <v>#REF!</v>
      </c>
      <c r="G57" s="194" t="e">
        <f t="shared" si="28"/>
        <v>#REF!</v>
      </c>
      <c r="H57" s="277"/>
      <c r="I57" s="217"/>
      <c r="J57" s="228">
        <f t="shared" si="27"/>
        <v>0</v>
      </c>
      <c r="K57" s="186" t="e">
        <f t="shared" si="21"/>
        <v>#REF!</v>
      </c>
      <c r="L57" s="228" t="e">
        <f t="shared" si="22"/>
        <v>#REF!</v>
      </c>
      <c r="M57" s="194" t="e">
        <f t="shared" si="24"/>
        <v>#REF!</v>
      </c>
      <c r="N57" s="237"/>
      <c r="O57" s="122" t="e">
        <f t="shared" si="31"/>
        <v>#REF!</v>
      </c>
      <c r="P57" s="99" t="e">
        <f t="shared" si="32"/>
        <v>#REF!</v>
      </c>
    </row>
    <row r="58" spans="2:16">
      <c r="B58" s="178" t="s">
        <v>202</v>
      </c>
      <c r="C58" s="217">
        <f>601.51*B43</f>
        <v>1203.02</v>
      </c>
      <c r="D58" s="228">
        <f t="shared" si="26"/>
        <v>15.332987115865862</v>
      </c>
      <c r="E58" s="186" t="e">
        <f t="shared" si="19"/>
        <v>#REF!</v>
      </c>
      <c r="F58" s="228" t="e">
        <f>#REF!</f>
        <v>#REF!</v>
      </c>
      <c r="G58" s="194" t="e">
        <f t="shared" si="28"/>
        <v>#REF!</v>
      </c>
      <c r="H58" s="277" t="e">
        <f t="shared" si="29"/>
        <v>#REF!</v>
      </c>
      <c r="I58" s="217">
        <f>252.28*B43</f>
        <v>504.56</v>
      </c>
      <c r="J58" s="228">
        <f t="shared" si="27"/>
        <v>15.906683480453973</v>
      </c>
      <c r="K58" s="186" t="e">
        <f t="shared" si="21"/>
        <v>#REF!</v>
      </c>
      <c r="L58" s="228" t="e">
        <f t="shared" si="22"/>
        <v>#REF!</v>
      </c>
      <c r="M58" s="194" t="e">
        <f t="shared" si="24"/>
        <v>#REF!</v>
      </c>
      <c r="N58" s="237" t="e">
        <f t="shared" ref="N58:N59" si="34">K58/I58*100</f>
        <v>#REF!</v>
      </c>
      <c r="O58" s="122" t="e">
        <f>G58+M58</f>
        <v>#REF!</v>
      </c>
      <c r="P58" s="99" t="e">
        <f t="shared" si="32"/>
        <v>#REF!</v>
      </c>
    </row>
    <row r="59" spans="2:16" ht="13.5">
      <c r="B59" s="182" t="s">
        <v>203</v>
      </c>
      <c r="C59" s="216">
        <f>140.82*B43</f>
        <v>281.64</v>
      </c>
      <c r="D59" s="227">
        <f>C59/$C$66</f>
        <v>3.5896182036146209</v>
      </c>
      <c r="E59" s="183" t="e">
        <f t="shared" si="19"/>
        <v>#REF!</v>
      </c>
      <c r="F59" s="232" t="e">
        <f>#REF!</f>
        <v>#REF!</v>
      </c>
      <c r="G59" s="192" t="e">
        <f t="shared" si="28"/>
        <v>#REF!</v>
      </c>
      <c r="H59" s="276" t="e">
        <f t="shared" si="29"/>
        <v>#REF!</v>
      </c>
      <c r="I59" s="243">
        <f>61.82*B43</f>
        <v>123.64</v>
      </c>
      <c r="J59" s="227">
        <f>I59/$I$66</f>
        <v>3.8978562421185372</v>
      </c>
      <c r="K59" s="183" t="e">
        <f t="shared" si="21"/>
        <v>#REF!</v>
      </c>
      <c r="L59" s="227" t="e">
        <f t="shared" si="22"/>
        <v>#REF!</v>
      </c>
      <c r="M59" s="192" t="e">
        <f t="shared" si="24"/>
        <v>#REF!</v>
      </c>
      <c r="N59" s="236" t="e">
        <f t="shared" si="34"/>
        <v>#REF!</v>
      </c>
      <c r="O59" s="122" t="e">
        <f>G59+M59</f>
        <v>#REF!</v>
      </c>
      <c r="P59" s="99" t="e">
        <f t="shared" si="32"/>
        <v>#REF!</v>
      </c>
    </row>
    <row r="60" spans="2:16" ht="13.5">
      <c r="B60" s="182" t="s">
        <v>204</v>
      </c>
      <c r="C60" s="216" t="e">
        <f>#REF!</f>
        <v>#REF!</v>
      </c>
      <c r="D60" s="227" t="e">
        <f t="shared" ref="D60:D62" si="35">C60/$C$66</f>
        <v>#REF!</v>
      </c>
      <c r="E60" s="183" t="e">
        <f t="shared" si="19"/>
        <v>#REF!</v>
      </c>
      <c r="F60" s="232" t="e">
        <f>#REF!</f>
        <v>#REF!</v>
      </c>
      <c r="G60" s="192" t="e">
        <f t="shared" si="28"/>
        <v>#REF!</v>
      </c>
      <c r="H60" s="278"/>
      <c r="I60" s="243" t="e">
        <f>#REF!</f>
        <v>#REF!</v>
      </c>
      <c r="J60" s="227" t="e">
        <f t="shared" ref="J60:J62" si="36">I60/$I$66</f>
        <v>#REF!</v>
      </c>
      <c r="K60" s="183" t="e">
        <f t="shared" si="21"/>
        <v>#REF!</v>
      </c>
      <c r="L60" s="227" t="e">
        <f t="shared" si="22"/>
        <v>#REF!</v>
      </c>
      <c r="M60" s="192" t="e">
        <f t="shared" si="24"/>
        <v>#REF!</v>
      </c>
      <c r="N60" s="239"/>
      <c r="O60" s="122" t="e">
        <f t="shared" ref="O60:O63" si="37">G60+M60</f>
        <v>#REF!</v>
      </c>
      <c r="P60" s="99" t="e">
        <f t="shared" si="32"/>
        <v>#REF!</v>
      </c>
    </row>
    <row r="61" spans="2:16" ht="13.5">
      <c r="B61" s="182" t="s">
        <v>186</v>
      </c>
      <c r="C61" s="216" t="e">
        <f>#REF!</f>
        <v>#REF!</v>
      </c>
      <c r="D61" s="227" t="e">
        <f t="shared" si="35"/>
        <v>#REF!</v>
      </c>
      <c r="E61" s="183" t="e">
        <f t="shared" si="19"/>
        <v>#REF!</v>
      </c>
      <c r="F61" s="232" t="e">
        <f>#REF!</f>
        <v>#REF!</v>
      </c>
      <c r="G61" s="192" t="e">
        <f t="shared" si="28"/>
        <v>#REF!</v>
      </c>
      <c r="H61" s="276"/>
      <c r="I61" s="243" t="e">
        <f>#REF!</f>
        <v>#REF!</v>
      </c>
      <c r="J61" s="227" t="e">
        <f t="shared" si="36"/>
        <v>#REF!</v>
      </c>
      <c r="K61" s="183" t="e">
        <f t="shared" si="21"/>
        <v>#REF!</v>
      </c>
      <c r="L61" s="227" t="e">
        <f t="shared" si="22"/>
        <v>#REF!</v>
      </c>
      <c r="M61" s="192" t="e">
        <f t="shared" si="24"/>
        <v>#REF!</v>
      </c>
      <c r="N61" s="236"/>
      <c r="O61" s="122" t="e">
        <f t="shared" si="37"/>
        <v>#REF!</v>
      </c>
      <c r="P61" s="99" t="e">
        <f t="shared" si="32"/>
        <v>#REF!</v>
      </c>
    </row>
    <row r="62" spans="2:16" ht="13.5">
      <c r="B62" s="182" t="s">
        <v>205</v>
      </c>
      <c r="C62" s="216" t="e">
        <f>#REF!</f>
        <v>#REF!</v>
      </c>
      <c r="D62" s="227" t="e">
        <f t="shared" si="35"/>
        <v>#REF!</v>
      </c>
      <c r="E62" s="183" t="e">
        <f t="shared" si="19"/>
        <v>#REF!</v>
      </c>
      <c r="F62" s="232" t="e">
        <f>#REF!</f>
        <v>#REF!</v>
      </c>
      <c r="G62" s="192" t="e">
        <f t="shared" si="28"/>
        <v>#REF!</v>
      </c>
      <c r="H62" s="276"/>
      <c r="I62" s="243" t="e">
        <f>#REF!</f>
        <v>#REF!</v>
      </c>
      <c r="J62" s="227" t="e">
        <f t="shared" si="36"/>
        <v>#REF!</v>
      </c>
      <c r="K62" s="183" t="e">
        <f t="shared" si="21"/>
        <v>#REF!</v>
      </c>
      <c r="L62" s="227" t="e">
        <f t="shared" si="22"/>
        <v>#REF!</v>
      </c>
      <c r="M62" s="192" t="e">
        <f t="shared" si="24"/>
        <v>#REF!</v>
      </c>
      <c r="N62" s="236"/>
      <c r="O62" s="122" t="e">
        <f t="shared" si="37"/>
        <v>#REF!</v>
      </c>
      <c r="P62" s="99" t="e">
        <f t="shared" si="32"/>
        <v>#REF!</v>
      </c>
    </row>
    <row r="63" spans="2:16" ht="25.5">
      <c r="B63" s="184" t="s">
        <v>140</v>
      </c>
      <c r="C63" s="218" t="e">
        <f>C48+C59+C60+C61+C62</f>
        <v>#REF!</v>
      </c>
      <c r="D63" s="218" t="e">
        <f>D48+D59+D60+D61+D62</f>
        <v>#REF!</v>
      </c>
      <c r="E63" s="185" t="e">
        <f>E48+E59+E60+E61+E62</f>
        <v>#REF!</v>
      </c>
      <c r="F63" s="229" t="e">
        <f>#REF!</f>
        <v>#REF!</v>
      </c>
      <c r="G63" s="198" t="e">
        <f t="shared" si="28"/>
        <v>#REF!</v>
      </c>
      <c r="H63" s="279" t="e">
        <f t="shared" ref="H63:H66" si="38">E63/C63*100</f>
        <v>#REF!</v>
      </c>
      <c r="I63" s="218" t="e">
        <f>I48+I59+I60+I61+I62</f>
        <v>#REF!</v>
      </c>
      <c r="J63" s="218" t="e">
        <f>J48+J59+J60+J61+J62</f>
        <v>#REF!</v>
      </c>
      <c r="K63" s="185" t="e">
        <f>K48+K59+K60+K61+K62</f>
        <v>#REF!</v>
      </c>
      <c r="L63" s="229" t="e">
        <f t="shared" si="22"/>
        <v>#REF!</v>
      </c>
      <c r="M63" s="198" t="e">
        <f t="shared" si="24"/>
        <v>#REF!</v>
      </c>
      <c r="N63" s="238" t="e">
        <f t="shared" ref="N63:N66" si="39">K63/I63*100</f>
        <v>#REF!</v>
      </c>
      <c r="O63" s="122" t="e">
        <f t="shared" si="37"/>
        <v>#REF!</v>
      </c>
      <c r="P63" s="99" t="e">
        <f t="shared" si="32"/>
        <v>#REF!</v>
      </c>
    </row>
    <row r="64" spans="2:16">
      <c r="B64" s="178" t="s">
        <v>143</v>
      </c>
      <c r="C64" s="219" t="e">
        <f>C65-C63</f>
        <v>#REF!</v>
      </c>
      <c r="D64" s="228" t="e">
        <f>C64/$C$66</f>
        <v>#REF!</v>
      </c>
      <c r="E64" s="187" t="e">
        <f>#REF!</f>
        <v>#REF!</v>
      </c>
      <c r="F64" s="228" t="e">
        <f>E64/$E$27</f>
        <v>#REF!</v>
      </c>
      <c r="G64" s="194" t="e">
        <f t="shared" si="28"/>
        <v>#REF!</v>
      </c>
      <c r="H64" s="277" t="e">
        <f t="shared" si="38"/>
        <v>#REF!</v>
      </c>
      <c r="I64" s="219" t="e">
        <f>I65-I63</f>
        <v>#REF!</v>
      </c>
      <c r="J64" s="228" t="e">
        <f>I64/$I$66</f>
        <v>#REF!</v>
      </c>
      <c r="K64" s="187" t="e">
        <f>#REF!</f>
        <v>#REF!</v>
      </c>
      <c r="L64" s="228" t="e">
        <f t="shared" si="22"/>
        <v>#REF!</v>
      </c>
      <c r="M64" s="194" t="e">
        <f t="shared" si="24"/>
        <v>#REF!</v>
      </c>
      <c r="N64" s="237" t="e">
        <f t="shared" si="39"/>
        <v>#REF!</v>
      </c>
      <c r="O64" s="122" t="e">
        <f>G64+M64</f>
        <v>#REF!</v>
      </c>
      <c r="P64" s="99" t="e">
        <f t="shared" si="32"/>
        <v>#REF!</v>
      </c>
    </row>
    <row r="65" spans="2:18" ht="25.5">
      <c r="B65" s="178" t="s">
        <v>279</v>
      </c>
      <c r="C65" s="220">
        <f>(804.38+159.04)*B43</f>
        <v>1926.84</v>
      </c>
      <c r="D65" s="228">
        <f>C65/$C$66</f>
        <v>24.55837217530463</v>
      </c>
      <c r="E65" s="187" t="e">
        <f>E63+E64</f>
        <v>#REF!</v>
      </c>
      <c r="F65" s="228" t="e">
        <f>E65/$E$27</f>
        <v>#REF!</v>
      </c>
      <c r="G65" s="194" t="e">
        <f t="shared" si="28"/>
        <v>#REF!</v>
      </c>
      <c r="H65" s="277" t="e">
        <f t="shared" si="38"/>
        <v>#REF!</v>
      </c>
      <c r="I65" s="220">
        <f>(327.58+47.4)*B43</f>
        <v>749.95999999999992</v>
      </c>
      <c r="J65" s="228">
        <f>I65/$I$66</f>
        <v>23.64312736443884</v>
      </c>
      <c r="K65" s="187" t="e">
        <f>K63+K64</f>
        <v>#REF!</v>
      </c>
      <c r="L65" s="228" t="e">
        <f t="shared" si="22"/>
        <v>#REF!</v>
      </c>
      <c r="M65" s="194" t="e">
        <f t="shared" si="24"/>
        <v>#REF!</v>
      </c>
      <c r="N65" s="237" t="e">
        <f t="shared" si="39"/>
        <v>#REF!</v>
      </c>
      <c r="O65" s="122" t="e">
        <f t="shared" ref="O65:O66" si="40">G65+M65</f>
        <v>#REF!</v>
      </c>
      <c r="P65" s="99" t="e">
        <f t="shared" si="32"/>
        <v>#REF!</v>
      </c>
    </row>
    <row r="66" spans="2:18" ht="26.25" thickBot="1">
      <c r="B66" s="207" t="s">
        <v>280</v>
      </c>
      <c r="C66" s="235">
        <f>РП!L27*B43</f>
        <v>78.459597657599986</v>
      </c>
      <c r="D66" s="230"/>
      <c r="E66" s="208">
        <f>РП!N27</f>
        <v>101.303516</v>
      </c>
      <c r="F66" s="233"/>
      <c r="G66" s="209">
        <f t="shared" si="28"/>
        <v>22.843918342400016</v>
      </c>
      <c r="H66" s="280">
        <f t="shared" si="38"/>
        <v>129.11551808115505</v>
      </c>
      <c r="I66" s="235">
        <f>РП!L34*B43</f>
        <v>31.72</v>
      </c>
      <c r="J66" s="230"/>
      <c r="K66" s="208">
        <f>РП!N34</f>
        <v>38.35</v>
      </c>
      <c r="L66" s="234"/>
      <c r="M66" s="209">
        <f t="shared" si="24"/>
        <v>6.6300000000000026</v>
      </c>
      <c r="N66" s="242">
        <f t="shared" si="39"/>
        <v>120.90163934426231</v>
      </c>
      <c r="O66" s="122">
        <f t="shared" si="40"/>
        <v>29.473918342400019</v>
      </c>
      <c r="P66" s="99">
        <f t="shared" si="32"/>
        <v>126.750795037385</v>
      </c>
    </row>
    <row r="67" spans="2:18">
      <c r="B67" s="225" t="s">
        <v>272</v>
      </c>
      <c r="C67" s="221"/>
      <c r="D67" s="231"/>
      <c r="E67" s="204"/>
      <c r="F67" s="231"/>
      <c r="G67" s="222"/>
      <c r="H67" s="222"/>
      <c r="I67" s="212"/>
      <c r="J67" s="231"/>
      <c r="K67" s="204"/>
      <c r="L67" s="271"/>
      <c r="M67" s="205"/>
      <c r="N67" s="222"/>
      <c r="O67" s="122"/>
      <c r="P67" s="99"/>
    </row>
    <row r="68" spans="2:18">
      <c r="B68" s="210" t="s">
        <v>273</v>
      </c>
      <c r="C68" s="223">
        <f>184.13*B43</f>
        <v>368.26</v>
      </c>
      <c r="D68" s="228">
        <f t="shared" ref="D68:D73" si="41">C68/$C$66</f>
        <v>4.6936259042150272</v>
      </c>
      <c r="E68" s="190" t="e">
        <f t="shared" ref="E68:E73" si="42">E29</f>
        <v>#REF!</v>
      </c>
      <c r="F68" s="228" t="e">
        <f t="shared" ref="F68:F73" si="43">E68/$E$27</f>
        <v>#REF!</v>
      </c>
      <c r="G68" s="194" t="e">
        <f t="shared" ref="G68:G73" si="44">E68-C68</f>
        <v>#REF!</v>
      </c>
      <c r="H68" s="237" t="e">
        <f t="shared" ref="H68:H73" si="45">E68/C68*100</f>
        <v>#REF!</v>
      </c>
      <c r="I68" s="213">
        <f>181.24*B43</f>
        <v>362.48</v>
      </c>
      <c r="J68" s="228">
        <f t="shared" ref="J68:J73" si="46">I68/$I$66</f>
        <v>11.427490542244641</v>
      </c>
      <c r="K68" s="190" t="e">
        <f t="shared" ref="K68:K73" si="47">K29</f>
        <v>#REF!</v>
      </c>
      <c r="L68" s="228" t="e">
        <f t="shared" ref="L68:L73" si="48">K68/$K$27</f>
        <v>#REF!</v>
      </c>
      <c r="M68" s="194" t="e">
        <f>K68-I68</f>
        <v>#REF!</v>
      </c>
      <c r="N68" s="237" t="e">
        <f t="shared" ref="N68:N70" si="49">K68/I68*100</f>
        <v>#REF!</v>
      </c>
      <c r="O68" s="122" t="e">
        <f t="shared" ref="O68" si="50">G68+M68</f>
        <v>#REF!</v>
      </c>
      <c r="P68" s="99" t="e">
        <f t="shared" ref="P68:P72" si="51">(E68+K68)/(C68+I68)*100</f>
        <v>#REF!</v>
      </c>
      <c r="Q68" s="241" t="e">
        <f t="shared" ref="Q68" si="52">E68+K68</f>
        <v>#REF!</v>
      </c>
      <c r="R68" s="99" t="e">
        <f t="shared" ref="R68:R74" si="53">Q68/$Q$35*100</f>
        <v>#REF!</v>
      </c>
    </row>
    <row r="69" spans="2:18">
      <c r="B69" s="210" t="s">
        <v>114</v>
      </c>
      <c r="C69" s="223">
        <f>748.15*B43</f>
        <v>1496.3</v>
      </c>
      <c r="D69" s="228">
        <f t="shared" si="41"/>
        <v>19.070961930366984</v>
      </c>
      <c r="E69" s="190" t="e">
        <f t="shared" si="42"/>
        <v>#REF!</v>
      </c>
      <c r="F69" s="228" t="e">
        <f t="shared" si="43"/>
        <v>#REF!</v>
      </c>
      <c r="G69" s="194" t="e">
        <f t="shared" si="44"/>
        <v>#REF!</v>
      </c>
      <c r="H69" s="237" t="e">
        <f t="shared" si="45"/>
        <v>#REF!</v>
      </c>
      <c r="I69" s="213">
        <f>305.91*B43</f>
        <v>611.82000000000005</v>
      </c>
      <c r="J69" s="228">
        <f t="shared" si="46"/>
        <v>19.288146279949562</v>
      </c>
      <c r="K69" s="190" t="e">
        <f t="shared" si="47"/>
        <v>#REF!</v>
      </c>
      <c r="L69" s="228" t="e">
        <f t="shared" si="48"/>
        <v>#REF!</v>
      </c>
      <c r="M69" s="194" t="e">
        <f t="shared" ref="M69:M73" si="54">K69-I69</f>
        <v>#REF!</v>
      </c>
      <c r="N69" s="237" t="e">
        <f t="shared" si="49"/>
        <v>#REF!</v>
      </c>
      <c r="O69" s="122" t="e">
        <f>G69+M69</f>
        <v>#REF!</v>
      </c>
      <c r="P69" s="99" t="e">
        <f t="shared" si="51"/>
        <v>#REF!</v>
      </c>
      <c r="Q69" s="241" t="e">
        <f>E69+K69</f>
        <v>#REF!</v>
      </c>
      <c r="R69" s="99" t="e">
        <f t="shared" si="53"/>
        <v>#REF!</v>
      </c>
    </row>
    <row r="70" spans="2:18">
      <c r="B70" s="210" t="s">
        <v>303</v>
      </c>
      <c r="C70" s="223">
        <f>160.38*B43</f>
        <v>320.76</v>
      </c>
      <c r="D70" s="228">
        <f t="shared" si="41"/>
        <v>4.0882187721610066</v>
      </c>
      <c r="E70" s="190" t="e">
        <f t="shared" si="42"/>
        <v>#REF!</v>
      </c>
      <c r="F70" s="228" t="e">
        <f t="shared" si="43"/>
        <v>#REF!</v>
      </c>
      <c r="G70" s="194" t="e">
        <f t="shared" si="44"/>
        <v>#REF!</v>
      </c>
      <c r="H70" s="237" t="e">
        <f t="shared" si="45"/>
        <v>#REF!</v>
      </c>
      <c r="I70" s="213">
        <f>65.79*B43</f>
        <v>131.58000000000001</v>
      </c>
      <c r="J70" s="228">
        <f t="shared" si="46"/>
        <v>4.148171500630518</v>
      </c>
      <c r="K70" s="190" t="e">
        <f t="shared" si="47"/>
        <v>#REF!</v>
      </c>
      <c r="L70" s="228" t="e">
        <f t="shared" si="48"/>
        <v>#REF!</v>
      </c>
      <c r="M70" s="194" t="e">
        <f t="shared" si="54"/>
        <v>#REF!</v>
      </c>
      <c r="N70" s="237" t="e">
        <f t="shared" si="49"/>
        <v>#REF!</v>
      </c>
      <c r="O70" s="122" t="e">
        <f t="shared" ref="O70:O72" si="55">G70+M70</f>
        <v>#REF!</v>
      </c>
      <c r="P70" s="99" t="e">
        <f t="shared" si="51"/>
        <v>#REF!</v>
      </c>
      <c r="Q70" s="241" t="e">
        <f t="shared" ref="Q70:Q73" si="56">E70+K70</f>
        <v>#REF!</v>
      </c>
      <c r="R70" s="99" t="e">
        <f t="shared" si="53"/>
        <v>#REF!</v>
      </c>
    </row>
    <row r="71" spans="2:18">
      <c r="B71" s="210" t="s">
        <v>274</v>
      </c>
      <c r="C71" s="223">
        <f>25.07*B43</f>
        <v>50.14</v>
      </c>
      <c r="D71" s="228">
        <f t="shared" si="41"/>
        <v>0.63905502318291829</v>
      </c>
      <c r="E71" s="190" t="e">
        <f t="shared" si="42"/>
        <v>#REF!</v>
      </c>
      <c r="F71" s="228" t="e">
        <f t="shared" si="43"/>
        <v>#REF!</v>
      </c>
      <c r="G71" s="194" t="e">
        <f t="shared" si="44"/>
        <v>#REF!</v>
      </c>
      <c r="H71" s="237" t="e">
        <f t="shared" si="45"/>
        <v>#REF!</v>
      </c>
      <c r="I71" s="213">
        <f>20.32*B43</f>
        <v>40.64</v>
      </c>
      <c r="J71" s="228">
        <f t="shared" si="46"/>
        <v>1.2812105926860027</v>
      </c>
      <c r="K71" s="190" t="e">
        <f t="shared" si="47"/>
        <v>#REF!</v>
      </c>
      <c r="L71" s="228" t="e">
        <f t="shared" si="48"/>
        <v>#REF!</v>
      </c>
      <c r="M71" s="194" t="e">
        <f t="shared" si="54"/>
        <v>#REF!</v>
      </c>
      <c r="N71" s="237" t="e">
        <f>K71/I71*100</f>
        <v>#REF!</v>
      </c>
      <c r="O71" s="122" t="e">
        <f t="shared" si="55"/>
        <v>#REF!</v>
      </c>
      <c r="P71" s="99" t="e">
        <f t="shared" si="51"/>
        <v>#REF!</v>
      </c>
      <c r="Q71" s="241" t="e">
        <f t="shared" si="56"/>
        <v>#REF!</v>
      </c>
      <c r="R71" s="99" t="e">
        <f t="shared" si="53"/>
        <v>#REF!</v>
      </c>
    </row>
    <row r="72" spans="2:18">
      <c r="B72" s="210" t="s">
        <v>275</v>
      </c>
      <c r="C72" s="223">
        <f>134.92*B43</f>
        <v>269.83999999999997</v>
      </c>
      <c r="D72" s="228">
        <f t="shared" si="41"/>
        <v>3.4392223265990958</v>
      </c>
      <c r="E72" s="190" t="e">
        <f t="shared" si="42"/>
        <v>#REF!</v>
      </c>
      <c r="F72" s="228" t="e">
        <f t="shared" si="43"/>
        <v>#REF!</v>
      </c>
      <c r="G72" s="194" t="e">
        <f t="shared" si="44"/>
        <v>#REF!</v>
      </c>
      <c r="H72" s="237" t="e">
        <f t="shared" si="45"/>
        <v>#REF!</v>
      </c>
      <c r="I72" s="311">
        <f>20.45*B43</f>
        <v>40.9</v>
      </c>
      <c r="J72" s="228">
        <f t="shared" si="46"/>
        <v>1.289407313997478</v>
      </c>
      <c r="K72" s="190" t="e">
        <f t="shared" si="47"/>
        <v>#REF!</v>
      </c>
      <c r="L72" s="228" t="e">
        <f t="shared" si="48"/>
        <v>#REF!</v>
      </c>
      <c r="M72" s="194" t="e">
        <f t="shared" si="54"/>
        <v>#REF!</v>
      </c>
      <c r="N72" s="237" t="e">
        <f t="shared" ref="N72:N73" si="57">K72/I72*100</f>
        <v>#REF!</v>
      </c>
      <c r="O72" s="122" t="e">
        <f t="shared" si="55"/>
        <v>#REF!</v>
      </c>
      <c r="P72" s="99" t="e">
        <f t="shared" si="51"/>
        <v>#REF!</v>
      </c>
      <c r="Q72" s="241" t="e">
        <f t="shared" si="56"/>
        <v>#REF!</v>
      </c>
      <c r="R72" s="99" t="e">
        <f t="shared" si="53"/>
        <v>#REF!</v>
      </c>
    </row>
    <row r="73" spans="2:18" ht="14.25" thickBot="1">
      <c r="B73" s="211" t="s">
        <v>68</v>
      </c>
      <c r="C73" s="224">
        <f>SUM(C68:C72)</f>
        <v>2505.2999999999997</v>
      </c>
      <c r="D73" s="234">
        <f t="shared" si="41"/>
        <v>31.931083956525029</v>
      </c>
      <c r="E73" s="310" t="e">
        <f t="shared" si="42"/>
        <v>#REF!</v>
      </c>
      <c r="F73" s="234" t="e">
        <f t="shared" si="43"/>
        <v>#REF!</v>
      </c>
      <c r="G73" s="202" t="e">
        <f t="shared" si="44"/>
        <v>#REF!</v>
      </c>
      <c r="H73" s="240" t="e">
        <f t="shared" si="45"/>
        <v>#REF!</v>
      </c>
      <c r="I73" s="312">
        <f>SUM(I68:I72)</f>
        <v>1187.4200000000003</v>
      </c>
      <c r="J73" s="208">
        <f t="shared" si="46"/>
        <v>37.434426229508205</v>
      </c>
      <c r="K73" s="310" t="e">
        <f t="shared" si="47"/>
        <v>#REF!</v>
      </c>
      <c r="L73" s="234" t="e">
        <f t="shared" si="48"/>
        <v>#REF!</v>
      </c>
      <c r="M73" s="202" t="e">
        <f t="shared" si="54"/>
        <v>#REF!</v>
      </c>
      <c r="N73" s="240" t="e">
        <f t="shared" si="57"/>
        <v>#REF!</v>
      </c>
      <c r="O73" s="122" t="e">
        <f>G73+M73</f>
        <v>#REF!</v>
      </c>
      <c r="P73" s="99" t="e">
        <f>(E73+K73)/(C73+I73)*100</f>
        <v>#REF!</v>
      </c>
      <c r="Q73" s="241" t="e">
        <f t="shared" si="56"/>
        <v>#REF!</v>
      </c>
      <c r="R73" s="99" t="e">
        <f t="shared" si="53"/>
        <v>#REF!</v>
      </c>
    </row>
    <row r="74" spans="2:18">
      <c r="B74" s="141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9"/>
      <c r="N74" s="141"/>
      <c r="Q74" s="84" t="e">
        <f>Q73*1.2</f>
        <v>#REF!</v>
      </c>
      <c r="R74" s="99" t="e">
        <f t="shared" si="53"/>
        <v>#REF!</v>
      </c>
    </row>
    <row r="75" spans="2:18">
      <c r="I75" s="141"/>
      <c r="J75" s="141"/>
      <c r="K75" s="141"/>
      <c r="L75" s="141"/>
      <c r="M75" s="177"/>
      <c r="N75" s="141"/>
    </row>
  </sheetData>
  <sheetProtection selectLockedCells="1" selectUnlockedCells="1"/>
  <mergeCells count="23">
    <mergeCell ref="B41:L41"/>
    <mergeCell ref="B42:L42"/>
    <mergeCell ref="B44:B46"/>
    <mergeCell ref="C44:H44"/>
    <mergeCell ref="I44:N44"/>
    <mergeCell ref="C45:D45"/>
    <mergeCell ref="E45:F45"/>
    <mergeCell ref="G45:H45"/>
    <mergeCell ref="I45:J45"/>
    <mergeCell ref="K45:L45"/>
    <mergeCell ref="M45:N45"/>
    <mergeCell ref="M6:N6"/>
    <mergeCell ref="I5:N5"/>
    <mergeCell ref="B2:L2"/>
    <mergeCell ref="B3:L3"/>
    <mergeCell ref="A5:A7"/>
    <mergeCell ref="B5:B7"/>
    <mergeCell ref="C5:H5"/>
    <mergeCell ref="I6:J6"/>
    <mergeCell ref="K6:L6"/>
    <mergeCell ref="C6:D6"/>
    <mergeCell ref="E6:F6"/>
    <mergeCell ref="G6:H6"/>
  </mergeCells>
  <pageMargins left="0.51" right="0.3" top="0.74027777777777781" bottom="0.37013888888888891" header="0.51180555555555551" footer="0.51180555555555551"/>
  <pageSetup paperSize="9" scale="85" firstPageNumber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0"/>
  <sheetViews>
    <sheetView zoomScaleNormal="100" workbookViewId="0">
      <selection sqref="A1:O1"/>
    </sheetView>
  </sheetViews>
  <sheetFormatPr defaultRowHeight="12.75"/>
  <cols>
    <col min="1" max="1" width="9.140625" style="331"/>
    <col min="2" max="2" width="3.85546875" style="331" customWidth="1"/>
    <col min="3" max="3" width="2.42578125" style="331" customWidth="1"/>
    <col min="4" max="4" width="6.140625" style="331" customWidth="1"/>
    <col min="5" max="5" width="2" style="331" customWidth="1"/>
    <col min="6" max="6" width="5.85546875" style="331" customWidth="1"/>
    <col min="7" max="7" width="2.42578125" style="331" customWidth="1"/>
    <col min="8" max="8" width="5.42578125" style="331" customWidth="1"/>
    <col min="9" max="9" width="2.5703125" style="331" customWidth="1"/>
    <col min="10" max="10" width="6.7109375" style="331" customWidth="1"/>
    <col min="11" max="11" width="1.7109375" style="331" customWidth="1"/>
    <col min="12" max="12" width="5.85546875" style="331" customWidth="1"/>
    <col min="13" max="14" width="9.140625" style="331"/>
    <col min="15" max="15" width="14.140625" style="331" customWidth="1"/>
    <col min="16" max="16384" width="9.140625" style="329"/>
  </cols>
  <sheetData>
    <row r="1" spans="1:21" ht="15.75">
      <c r="A1" s="368" t="s">
        <v>329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21" ht="15.75">
      <c r="A2" s="368" t="s">
        <v>327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21" ht="15.75">
      <c r="A3" s="368" t="s">
        <v>328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</row>
    <row r="4" spans="1:21" ht="21" customHeight="1">
      <c r="A4" s="368" t="s">
        <v>338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74" t="str">
        <f>Структ!E54</f>
        <v>Микола ДАШИВЕЦЬ</v>
      </c>
      <c r="O4" s="374"/>
    </row>
    <row r="5" spans="1:21" ht="25.5" customHeight="1">
      <c r="A5" s="330"/>
    </row>
    <row r="6" spans="1:21" ht="15.75">
      <c r="A6" s="370" t="s">
        <v>187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</row>
    <row r="7" spans="1:21" ht="15.75">
      <c r="A7" s="369" t="s">
        <v>322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</row>
    <row r="8" spans="1:21" ht="15.75">
      <c r="A8" s="369" t="s">
        <v>323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</row>
    <row r="9" spans="1:21" ht="9" customHeight="1">
      <c r="A9" s="371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</row>
    <row r="10" spans="1:21" ht="62.25" customHeight="1">
      <c r="A10" s="371" t="s">
        <v>335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</row>
    <row r="11" spans="1:21" ht="33.75" customHeight="1">
      <c r="A11" s="371" t="s">
        <v>336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T11" s="331" t="s">
        <v>353</v>
      </c>
      <c r="U11" s="331" t="s">
        <v>352</v>
      </c>
    </row>
    <row r="12" spans="1:21" ht="15.75" customHeight="1">
      <c r="A12" s="369" t="s">
        <v>354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S12" s="329" t="s">
        <v>340</v>
      </c>
      <c r="T12" s="329">
        <v>45</v>
      </c>
      <c r="U12" s="329">
        <v>10</v>
      </c>
    </row>
    <row r="13" spans="1:21" ht="15.75" customHeight="1">
      <c r="A13" s="371" t="s">
        <v>339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S13" s="329" t="s">
        <v>341</v>
      </c>
      <c r="T13" s="329">
        <v>10</v>
      </c>
      <c r="U13" s="329">
        <v>12</v>
      </c>
    </row>
    <row r="14" spans="1:21" ht="15.75" customHeight="1">
      <c r="A14" s="371" t="s">
        <v>355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S14" s="329" t="s">
        <v>342</v>
      </c>
      <c r="T14" s="329">
        <v>10</v>
      </c>
      <c r="U14" s="329">
        <v>47</v>
      </c>
    </row>
    <row r="15" spans="1:21" ht="11.25" customHeight="1">
      <c r="A15" s="371"/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S15" s="329" t="s">
        <v>343</v>
      </c>
      <c r="T15" s="329">
        <v>51</v>
      </c>
      <c r="U15" s="329">
        <v>100</v>
      </c>
    </row>
    <row r="16" spans="1:21" ht="16.5" customHeight="1">
      <c r="A16" s="372" t="s">
        <v>356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S16" s="329" t="s">
        <v>344</v>
      </c>
      <c r="T16" s="329">
        <v>26</v>
      </c>
      <c r="U16" s="329">
        <v>25</v>
      </c>
    </row>
    <row r="17" spans="1:21" ht="15.75" customHeight="1">
      <c r="A17" s="369" t="s">
        <v>357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S17" s="329" t="s">
        <v>345</v>
      </c>
      <c r="T17" s="329">
        <v>32</v>
      </c>
      <c r="U17" s="329">
        <v>54</v>
      </c>
    </row>
    <row r="18" spans="1:21" ht="15.75" customHeight="1">
      <c r="A18" s="371" t="s">
        <v>358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S18" s="329" t="s">
        <v>346</v>
      </c>
      <c r="T18" s="329">
        <v>61</v>
      </c>
    </row>
    <row r="19" spans="1:21" ht="15.75">
      <c r="A19" s="371" t="s">
        <v>359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S19" s="329" t="s">
        <v>347</v>
      </c>
      <c r="T19" s="329">
        <v>51</v>
      </c>
    </row>
    <row r="20" spans="1:21" ht="15.75" customHeight="1">
      <c r="A20" s="371" t="s">
        <v>360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S20" s="329" t="s">
        <v>348</v>
      </c>
      <c r="T20" s="329">
        <v>65</v>
      </c>
    </row>
    <row r="21" spans="1:21" ht="15.75" customHeight="1">
      <c r="A21" s="330" t="s">
        <v>325</v>
      </c>
      <c r="B21" s="330">
        <v>10</v>
      </c>
      <c r="C21" s="330" t="s">
        <v>265</v>
      </c>
      <c r="D21" s="330">
        <v>348</v>
      </c>
      <c r="E21" s="330" t="s">
        <v>265</v>
      </c>
      <c r="F21" s="330">
        <v>0.35</v>
      </c>
      <c r="G21" s="330" t="s">
        <v>265</v>
      </c>
      <c r="H21" s="330">
        <v>5.7</v>
      </c>
      <c r="I21" s="330" t="s">
        <v>265</v>
      </c>
      <c r="J21" s="330">
        <v>0.2</v>
      </c>
      <c r="K21" s="332" t="s">
        <v>326</v>
      </c>
      <c r="L21" s="333">
        <f>B21*D21*F21*H21*J21/1000</f>
        <v>1.3885200000000002</v>
      </c>
      <c r="M21" s="375" t="s">
        <v>331</v>
      </c>
      <c r="N21" s="375"/>
      <c r="O21" s="375"/>
      <c r="S21" s="329" t="s">
        <v>349</v>
      </c>
      <c r="T21" s="329">
        <v>37</v>
      </c>
    </row>
    <row r="22" spans="1:21" ht="17.25">
      <c r="A22" s="372" t="s">
        <v>361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S22" s="329" t="s">
        <v>350</v>
      </c>
      <c r="T22" s="329">
        <v>68</v>
      </c>
    </row>
    <row r="23" spans="1:21" ht="15.75">
      <c r="A23" s="371" t="s">
        <v>362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S23" s="329" t="s">
        <v>351</v>
      </c>
      <c r="T23" s="329">
        <v>59</v>
      </c>
    </row>
    <row r="24" spans="1:21" ht="18" customHeight="1">
      <c r="A24" s="371" t="s">
        <v>363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</row>
    <row r="25" spans="1:21" ht="15.75">
      <c r="A25" s="371" t="s">
        <v>364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</row>
    <row r="26" spans="1:21" ht="15.75">
      <c r="A26" s="371" t="s">
        <v>365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</row>
    <row r="27" spans="1:21" s="334" customFormat="1" ht="15.75">
      <c r="A27" s="330" t="s">
        <v>330</v>
      </c>
      <c r="B27" s="330">
        <v>10</v>
      </c>
      <c r="C27" s="330" t="s">
        <v>265</v>
      </c>
      <c r="D27" s="330">
        <v>147</v>
      </c>
      <c r="E27" s="330" t="s">
        <v>265</v>
      </c>
      <c r="F27" s="330">
        <v>0.6</v>
      </c>
      <c r="G27" s="330" t="s">
        <v>265</v>
      </c>
      <c r="H27" s="330">
        <v>5.7</v>
      </c>
      <c r="I27" s="330" t="s">
        <v>265</v>
      </c>
      <c r="J27" s="330">
        <v>0.2</v>
      </c>
      <c r="K27" s="332" t="s">
        <v>326</v>
      </c>
      <c r="L27" s="333">
        <f>B27*D27*F27*H27*J27/1000</f>
        <v>1.0054800000000002</v>
      </c>
      <c r="M27" s="375" t="s">
        <v>331</v>
      </c>
      <c r="N27" s="375"/>
      <c r="O27" s="375"/>
    </row>
    <row r="28" spans="1:21" ht="69.75" customHeight="1">
      <c r="A28" s="371" t="s">
        <v>337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</row>
    <row r="29" spans="1:21" ht="50.25" customHeight="1">
      <c r="A29" s="371" t="s">
        <v>324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</row>
    <row r="30" spans="1:21" s="337" customFormat="1" ht="22.5" customHeight="1">
      <c r="A30" s="335"/>
      <c r="B30" s="335"/>
      <c r="C30" s="335"/>
      <c r="D30" s="335" t="s">
        <v>332</v>
      </c>
      <c r="E30" s="335" t="s">
        <v>326</v>
      </c>
      <c r="F30" s="336">
        <f>ROUND(L21,2)</f>
        <v>1.39</v>
      </c>
      <c r="G30" s="336" t="s">
        <v>333</v>
      </c>
      <c r="H30" s="336">
        <f>ROUND(L27,2)</f>
        <v>1.01</v>
      </c>
      <c r="I30" s="335" t="s">
        <v>326</v>
      </c>
      <c r="J30" s="336">
        <f>F30+H30</f>
        <v>2.4</v>
      </c>
      <c r="K30" s="335"/>
      <c r="L30" s="373" t="s">
        <v>334</v>
      </c>
      <c r="M30" s="373"/>
      <c r="N30" s="373"/>
      <c r="O30" s="373"/>
    </row>
  </sheetData>
  <mergeCells count="30">
    <mergeCell ref="L30:O30"/>
    <mergeCell ref="A9:O9"/>
    <mergeCell ref="A15:O15"/>
    <mergeCell ref="N4:O4"/>
    <mergeCell ref="A26:O26"/>
    <mergeCell ref="A28:O28"/>
    <mergeCell ref="M27:O27"/>
    <mergeCell ref="M21:O21"/>
    <mergeCell ref="A29:O29"/>
    <mergeCell ref="A20:O20"/>
    <mergeCell ref="A22:O22"/>
    <mergeCell ref="A23:O23"/>
    <mergeCell ref="A24:O24"/>
    <mergeCell ref="A25:O25"/>
    <mergeCell ref="A7:O7"/>
    <mergeCell ref="A10:O10"/>
    <mergeCell ref="A18:O18"/>
    <mergeCell ref="A19:O19"/>
    <mergeCell ref="A13:O13"/>
    <mergeCell ref="A14:O14"/>
    <mergeCell ref="A8:O8"/>
    <mergeCell ref="A11:O11"/>
    <mergeCell ref="A12:O12"/>
    <mergeCell ref="A16:O16"/>
    <mergeCell ref="A1:O1"/>
    <mergeCell ref="A2:O2"/>
    <mergeCell ref="A3:O3"/>
    <mergeCell ref="A4:M4"/>
    <mergeCell ref="A17:O17"/>
    <mergeCell ref="A6:O6"/>
  </mergeCells>
  <pageMargins left="0.7" right="0.39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зміст</vt:lpstr>
      <vt:lpstr>Вх.</vt:lpstr>
      <vt:lpstr>Структ</vt:lpstr>
      <vt:lpstr>РП</vt:lpstr>
      <vt:lpstr>Аналіз</vt:lpstr>
      <vt:lpstr>Дощ.+Сніг</vt:lpstr>
      <vt:lpstr>Вх.!Excel_BuiltIn_Print_Area</vt:lpstr>
      <vt:lpstr>Структ!Excel_BuiltIn_Print_Area</vt:lpstr>
      <vt:lpstr>Аналіз!Область_печати</vt:lpstr>
      <vt:lpstr>Вх.!Область_печати</vt:lpstr>
      <vt:lpstr>РП!Область_печати</vt:lpstr>
      <vt:lpstr>Структ!Область_печати</vt:lpstr>
      <vt:lpstr>отклонение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Людмила Шершень</cp:lastModifiedBy>
  <cp:lastPrinted>2024-04-25T11:35:29Z</cp:lastPrinted>
  <dcterms:created xsi:type="dcterms:W3CDTF">2020-04-15T12:14:04Z</dcterms:created>
  <dcterms:modified xsi:type="dcterms:W3CDTF">2024-04-25T11:35:38Z</dcterms:modified>
</cp:coreProperties>
</file>